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17925" windowHeight="9630"/>
  </bookViews>
  <sheets>
    <sheet name="employment income" sheetId="1" r:id="rId1"/>
    <sheet name="tax rat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T38" i="1"/>
  <c r="S38" i="1"/>
  <c r="S37" i="1"/>
  <c r="T35" i="1"/>
  <c r="T34" i="1"/>
  <c r="T33" i="1"/>
  <c r="T32" i="1"/>
  <c r="M33" i="1"/>
  <c r="T31" i="1"/>
  <c r="T30" i="1"/>
  <c r="Q28" i="1"/>
  <c r="V26" i="1"/>
  <c r="V25" i="1"/>
  <c r="M30" i="1"/>
  <c r="M29" i="1"/>
  <c r="J29" i="1"/>
  <c r="M28" i="1"/>
  <c r="J28" i="1"/>
  <c r="M26" i="1"/>
  <c r="M25" i="1"/>
  <c r="J25" i="1"/>
  <c r="M24" i="1"/>
  <c r="J24" i="1"/>
  <c r="M23" i="1"/>
  <c r="J23" i="1"/>
  <c r="M21" i="1"/>
  <c r="V23" i="1"/>
  <c r="V22" i="1"/>
  <c r="U22" i="1"/>
  <c r="U21" i="1"/>
  <c r="V20" i="1"/>
  <c r="U20" i="1"/>
  <c r="U19" i="1"/>
  <c r="V17" i="1"/>
  <c r="V16" i="1"/>
  <c r="V15" i="1"/>
  <c r="V14" i="1"/>
  <c r="V13" i="1"/>
  <c r="T13" i="1"/>
  <c r="T12" i="1"/>
  <c r="V11" i="1"/>
  <c r="V10" i="1"/>
  <c r="V9" i="1"/>
  <c r="V8" i="1"/>
  <c r="V7" i="1"/>
</calcChain>
</file>

<file path=xl/sharedStrings.xml><?xml version="1.0" encoding="utf-8"?>
<sst xmlns="http://schemas.openxmlformats.org/spreadsheetml/2006/main" count="72" uniqueCount="68">
  <si>
    <t>Henry Mwala who holds a dual citizenship, had been living in Denmark since September 2014. He returned to the</t>
  </si>
  <si>
    <t>country on 17 December 2020 and opened a hardware shop on 2 January 2021. On 1 July 2021, he secured a formal</t>
  </si>
  <si>
    <t>employment with Bestfreight Ltd. a logistic company as a fleet manager.</t>
  </si>
  <si>
    <t>He provided the following information relating to his income for the year ended 31 December 2021:</t>
  </si>
  <si>
    <t>1. Basic salary Sh.180,000 per month (PAYE Sh.46,000 per month).</t>
  </si>
  <si>
    <t>2. He was paid overtime amounting to Sh.30,000 per month and risk allowance of Sh.25,000 per month during the year.</t>
  </si>
  <si>
    <t>3. The employer provided him with meals worth Sh.5,000 per month.</t>
  </si>
  <si>
    <t>4. He received house allowance of Sh.60,000 per month.</t>
  </si>
  <si>
    <t>5. Up to 30 September 2021, he used his personal car for official duties and the employer reimbursed a monthly mileage allowance of Sh.40,000.</t>
  </si>
  <si>
    <t>6. On 1 October 2021, he was provided with a saloon car of 2400cc purchased by the company in year 2019 at a cost of Sh.2,000,000.</t>
  </si>
  <si>
    <t>7. He was out of office on official duties for five days and received a per diem of Sh.6,000 from the employer.</t>
  </si>
  <si>
    <t>8. The company paid school fees of Sh.80,000 for each of his three children during the year. This was included in the</t>
  </si>
  <si>
    <t>employer’s books of accounts.</t>
  </si>
  <si>
    <t>9. The employer bought a Sh.120,000 air ticket to facilitate Henry Mwala to visit the rest of his family in Denmark</t>
  </si>
  <si>
    <t>during his annual leave.</t>
  </si>
  <si>
    <t>10. With effect from 1 July 2021, he contributed Sh.15,000 (monthly) as pension contribution and Sh.92,000 for life</t>
  </si>
  <si>
    <t>insurance annual premium respectively.</t>
  </si>
  <si>
    <t>11. He bought a residential house on 1 September 2021 through mortgage of Sh.6,000,000 provided by Excel Bank</t>
  </si>
  <si>
    <t>Ltd. at an interest rate of 16% per annum. He moved into the house on 2 October 2021</t>
  </si>
  <si>
    <t>12. The net loss from the hardware shop during the year amounted to Sh.370,000.</t>
  </si>
  <si>
    <t>This was after deducting the following:</t>
  </si>
  <si>
    <t>Sh</t>
  </si>
  <si>
    <t xml:space="preserve">Salary (sales person) </t>
  </si>
  <si>
    <t xml:space="preserve">VAT paid </t>
  </si>
  <si>
    <t xml:space="preserve">Rent </t>
  </si>
  <si>
    <t xml:space="preserve">Electricity </t>
  </si>
  <si>
    <t xml:space="preserve">Furniture and fittings </t>
  </si>
  <si>
    <t xml:space="preserve">Computers </t>
  </si>
  <si>
    <t>Required:</t>
  </si>
  <si>
    <t>(i) Determine total taxable income for Henry Mwala for the year ended 31 December 2021. (12 marks)</t>
  </si>
  <si>
    <t>(ii) Compute tax payable (if any) from the income computed in (c) (i) above. (2 marks)</t>
  </si>
  <si>
    <t>Henry Mwala</t>
  </si>
  <si>
    <t xml:space="preserve"> Total taxable income for Henry Mwala for the year ended 31 December 2021. </t>
  </si>
  <si>
    <t>Employment income</t>
  </si>
  <si>
    <t>free meals</t>
  </si>
  <si>
    <t>cost</t>
  </si>
  <si>
    <t>2400cc</t>
  </si>
  <si>
    <t>set limit</t>
  </si>
  <si>
    <t>net loss</t>
  </si>
  <si>
    <t>add non allowable expenses</t>
  </si>
  <si>
    <t>wear and tear</t>
  </si>
  <si>
    <t>Total taxable income</t>
  </si>
  <si>
    <t>1st</t>
  </si>
  <si>
    <t>gross tax</t>
  </si>
  <si>
    <t>PAYE</t>
  </si>
  <si>
    <t>Basic salary</t>
  </si>
  <si>
    <t>Overtime allowance</t>
  </si>
  <si>
    <t>Risk allowance</t>
  </si>
  <si>
    <t>House allowance</t>
  </si>
  <si>
    <t>Car benefit</t>
  </si>
  <si>
    <t>Perdiem</t>
  </si>
  <si>
    <t>(assume 6000per day)</t>
  </si>
  <si>
    <t>School fees</t>
  </si>
  <si>
    <t>Passages(air ticket)</t>
  </si>
  <si>
    <t>Less allowable deductions</t>
  </si>
  <si>
    <t>Contribution to pension</t>
  </si>
  <si>
    <t>actual</t>
  </si>
  <si>
    <t>contribution to mortgage interest</t>
  </si>
  <si>
    <t>Net employment income</t>
  </si>
  <si>
    <t>Other incomes</t>
  </si>
  <si>
    <t>adjusted taxable income</t>
  </si>
  <si>
    <t>Business income(hardware income)</t>
  </si>
  <si>
    <t>2nd</t>
  </si>
  <si>
    <t>ecxess</t>
  </si>
  <si>
    <t>Personal relief</t>
  </si>
  <si>
    <t>insurance relief</t>
  </si>
  <si>
    <t>premium</t>
  </si>
  <si>
    <t>Net tax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</si>
</sst>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;\(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2" fillId="0" borderId="0" xfId="1" applyNumberFormat="1" applyFont="1"/>
    <xf numFmtId="164" fontId="3" fillId="0" borderId="0" xfId="1" applyNumberFormat="1" applyFont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3" fillId="0" borderId="3" xfId="1" applyNumberFormat="1" applyFont="1" applyBorder="1"/>
    <xf numFmtId="164" fontId="2" fillId="0" borderId="3" xfId="1" applyNumberFormat="1" applyFont="1" applyBorder="1"/>
    <xf numFmtId="164" fontId="3" fillId="0" borderId="3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Border="1"/>
    <xf numFmtId="164" fontId="2" fillId="0" borderId="0" xfId="1" applyNumberFormat="1" applyFont="1" applyBorder="1"/>
    <xf numFmtId="164" fontId="4" fillId="0" borderId="0" xfId="1" applyNumberFormat="1" applyFont="1" applyBorder="1"/>
    <xf numFmtId="164" fontId="5" fillId="0" borderId="0" xfId="1" applyNumberFormat="1" applyFont="1" applyBorder="1"/>
    <xf numFmtId="164" fontId="2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600075</xdr:colOff>
      <xdr:row>53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0353675" cy="992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1"/>
  <sheetViews>
    <sheetView tabSelected="1" topLeftCell="E31" workbookViewId="0">
      <selection activeCell="Q43" sqref="Q43"/>
    </sheetView>
  </sheetViews>
  <sheetFormatPr defaultRowHeight="15.75" x14ac:dyDescent="0.25"/>
  <cols>
    <col min="1" max="6" width="9.140625" style="1"/>
    <col min="7" max="7" width="10.140625" style="1" bestFit="1" customWidth="1"/>
    <col min="8" max="12" width="9.140625" style="1"/>
    <col min="13" max="13" width="10.28515625" style="1" customWidth="1"/>
    <col min="14" max="14" width="9.85546875" style="1" bestFit="1" customWidth="1"/>
    <col min="15" max="18" width="9.140625" style="1"/>
    <col min="19" max="19" width="10.5703125" style="1" customWidth="1"/>
    <col min="20" max="20" width="9.85546875" style="1" bestFit="1" customWidth="1"/>
    <col min="21" max="21" width="9.140625" style="1"/>
    <col min="22" max="22" width="10.85546875" style="1" customWidth="1"/>
    <col min="23" max="24" width="10.140625" style="1" bestFit="1" customWidth="1"/>
    <col min="25" max="16384" width="9.140625" style="1"/>
  </cols>
  <sheetData>
    <row r="2" spans="2:25" x14ac:dyDescent="0.25">
      <c r="B2" s="1" t="s">
        <v>0</v>
      </c>
    </row>
    <row r="3" spans="2:25" x14ac:dyDescent="0.25">
      <c r="B3" s="1" t="s">
        <v>1</v>
      </c>
      <c r="R3" s="8" t="s">
        <v>31</v>
      </c>
      <c r="S3" s="8"/>
      <c r="T3" s="8"/>
      <c r="U3" s="8"/>
      <c r="V3" s="8"/>
      <c r="W3" s="8"/>
      <c r="X3" s="8"/>
    </row>
    <row r="4" spans="2:25" x14ac:dyDescent="0.25">
      <c r="B4" s="1" t="s">
        <v>2</v>
      </c>
      <c r="Q4" s="7" t="s">
        <v>32</v>
      </c>
      <c r="R4" s="7"/>
      <c r="S4" s="7"/>
      <c r="T4" s="7"/>
      <c r="U4" s="7"/>
      <c r="V4" s="7"/>
      <c r="W4" s="7"/>
      <c r="X4" s="7"/>
      <c r="Y4" s="7"/>
    </row>
    <row r="5" spans="2:25" x14ac:dyDescent="0.25">
      <c r="B5" s="1" t="s">
        <v>3</v>
      </c>
    </row>
    <row r="6" spans="2:25" x14ac:dyDescent="0.25">
      <c r="B6" s="1" t="s">
        <v>4</v>
      </c>
      <c r="Q6" s="11" t="s">
        <v>33</v>
      </c>
      <c r="R6" s="12"/>
    </row>
    <row r="7" spans="2:25" x14ac:dyDescent="0.25">
      <c r="B7" s="1" t="s">
        <v>5</v>
      </c>
      <c r="Q7" s="10" t="s">
        <v>45</v>
      </c>
      <c r="R7" s="10"/>
      <c r="V7" s="1">
        <f>180000*6</f>
        <v>1080000</v>
      </c>
    </row>
    <row r="8" spans="2:25" x14ac:dyDescent="0.25">
      <c r="B8" s="1" t="s">
        <v>6</v>
      </c>
      <c r="Q8" s="1" t="s">
        <v>46</v>
      </c>
      <c r="V8" s="1">
        <f>30000*6</f>
        <v>180000</v>
      </c>
    </row>
    <row r="9" spans="2:25" x14ac:dyDescent="0.25">
      <c r="B9" s="1" t="s">
        <v>7</v>
      </c>
      <c r="Q9" s="1" t="s">
        <v>47</v>
      </c>
      <c r="V9" s="1">
        <f>25000*6</f>
        <v>150000</v>
      </c>
    </row>
    <row r="10" spans="2:25" x14ac:dyDescent="0.25">
      <c r="B10" s="1" t="s">
        <v>8</v>
      </c>
      <c r="Q10" s="1" t="s">
        <v>34</v>
      </c>
      <c r="V10" s="1">
        <f>5000*6</f>
        <v>30000</v>
      </c>
    </row>
    <row r="11" spans="2:25" x14ac:dyDescent="0.25">
      <c r="B11" s="1" t="s">
        <v>9</v>
      </c>
      <c r="Q11" s="1" t="s">
        <v>48</v>
      </c>
      <c r="V11" s="1">
        <f>60000*6</f>
        <v>360000</v>
      </c>
    </row>
    <row r="12" spans="2:25" x14ac:dyDescent="0.25">
      <c r="B12" s="1" t="s">
        <v>10</v>
      </c>
      <c r="Q12" s="1" t="s">
        <v>49</v>
      </c>
      <c r="S12" s="1" t="s">
        <v>35</v>
      </c>
      <c r="T12" s="1">
        <f>2000000*0.24*3/12</f>
        <v>120000</v>
      </c>
    </row>
    <row r="13" spans="2:25" x14ac:dyDescent="0.25">
      <c r="B13" s="1" t="s">
        <v>11</v>
      </c>
      <c r="S13" s="1" t="s">
        <v>36</v>
      </c>
      <c r="T13" s="1">
        <f>8600*3</f>
        <v>25800</v>
      </c>
      <c r="V13" s="1">
        <f>T12</f>
        <v>120000</v>
      </c>
    </row>
    <row r="14" spans="2:25" x14ac:dyDescent="0.25">
      <c r="B14" s="1" t="s">
        <v>12</v>
      </c>
      <c r="Q14" s="1" t="s">
        <v>50</v>
      </c>
      <c r="R14" s="1" t="s">
        <v>51</v>
      </c>
      <c r="V14" s="1">
        <f>(6000-2000)*5</f>
        <v>20000</v>
      </c>
    </row>
    <row r="15" spans="2:25" x14ac:dyDescent="0.25">
      <c r="B15" s="1" t="s">
        <v>13</v>
      </c>
      <c r="Q15" s="1" t="s">
        <v>52</v>
      </c>
      <c r="V15" s="1">
        <f>80000*3</f>
        <v>240000</v>
      </c>
    </row>
    <row r="16" spans="2:25" x14ac:dyDescent="0.25">
      <c r="B16" s="1" t="s">
        <v>14</v>
      </c>
      <c r="Q16" s="1" t="s">
        <v>53</v>
      </c>
      <c r="V16" s="1">
        <f>120000</f>
        <v>120000</v>
      </c>
    </row>
    <row r="17" spans="2:23" x14ac:dyDescent="0.25">
      <c r="B17" s="1" t="s">
        <v>15</v>
      </c>
      <c r="Q17" s="2" t="s">
        <v>33</v>
      </c>
      <c r="V17" s="3">
        <f>SUM(V7:V16)</f>
        <v>2300000</v>
      </c>
      <c r="W17" s="9"/>
    </row>
    <row r="18" spans="2:23" x14ac:dyDescent="0.25">
      <c r="B18" s="1" t="s">
        <v>16</v>
      </c>
      <c r="Q18" s="5" t="s">
        <v>54</v>
      </c>
      <c r="R18" s="6"/>
      <c r="S18" s="6"/>
    </row>
    <row r="19" spans="2:23" x14ac:dyDescent="0.25">
      <c r="B19" s="1" t="s">
        <v>17</v>
      </c>
      <c r="Q19" s="10" t="s">
        <v>55</v>
      </c>
      <c r="R19" s="10"/>
      <c r="S19" s="10"/>
      <c r="T19" s="1" t="s">
        <v>56</v>
      </c>
      <c r="U19" s="1">
        <f>15000*6</f>
        <v>90000</v>
      </c>
    </row>
    <row r="20" spans="2:23" x14ac:dyDescent="0.25">
      <c r="B20" s="1" t="s">
        <v>18</v>
      </c>
      <c r="T20" s="1" t="s">
        <v>37</v>
      </c>
      <c r="U20" s="1">
        <f>240000*6/12</f>
        <v>120000</v>
      </c>
      <c r="V20" s="1">
        <f>-U19</f>
        <v>-90000</v>
      </c>
    </row>
    <row r="21" spans="2:23" x14ac:dyDescent="0.25">
      <c r="B21" s="1" t="s">
        <v>19</v>
      </c>
      <c r="J21" s="1" t="s">
        <v>38</v>
      </c>
      <c r="M21" s="1">
        <f>-370000</f>
        <v>-370000</v>
      </c>
      <c r="Q21" s="1" t="s">
        <v>57</v>
      </c>
      <c r="T21" s="1" t="s">
        <v>56</v>
      </c>
      <c r="U21" s="1">
        <f>6000000*0.16*3/12</f>
        <v>240000</v>
      </c>
    </row>
    <row r="22" spans="2:23" x14ac:dyDescent="0.25">
      <c r="B22" s="1" t="s">
        <v>20</v>
      </c>
      <c r="J22" s="2" t="s">
        <v>39</v>
      </c>
      <c r="T22" s="1" t="s">
        <v>37</v>
      </c>
      <c r="U22" s="1">
        <f>300000*3/12</f>
        <v>75000</v>
      </c>
      <c r="V22" s="1">
        <f>-U22</f>
        <v>-75000</v>
      </c>
    </row>
    <row r="23" spans="2:23" x14ac:dyDescent="0.25">
      <c r="G23" s="1" t="s">
        <v>21</v>
      </c>
      <c r="J23" s="1" t="str">
        <f>C25</f>
        <v xml:space="preserve">VAT paid </v>
      </c>
      <c r="M23" s="1">
        <f>G25</f>
        <v>180000</v>
      </c>
      <c r="Q23" s="1" t="s">
        <v>58</v>
      </c>
      <c r="V23" s="3">
        <f>SUM(V17:V22)</f>
        <v>2135000</v>
      </c>
      <c r="W23" s="9"/>
    </row>
    <row r="24" spans="2:23" x14ac:dyDescent="0.25">
      <c r="C24" s="1" t="s">
        <v>22</v>
      </c>
      <c r="G24" s="1">
        <v>1050000</v>
      </c>
      <c r="J24" s="1" t="str">
        <f>C28</f>
        <v xml:space="preserve">Furniture and fittings </v>
      </c>
      <c r="M24" s="1">
        <f>G28</f>
        <v>250000</v>
      </c>
      <c r="Q24" s="5" t="s">
        <v>59</v>
      </c>
      <c r="R24" s="6"/>
      <c r="W24" s="10"/>
    </row>
    <row r="25" spans="2:23" x14ac:dyDescent="0.25">
      <c r="C25" s="1" t="s">
        <v>23</v>
      </c>
      <c r="G25" s="1">
        <v>180000</v>
      </c>
      <c r="J25" s="1" t="str">
        <f>C29</f>
        <v xml:space="preserve">Computers </v>
      </c>
      <c r="M25" s="1">
        <f>G29</f>
        <v>300000</v>
      </c>
      <c r="Q25" s="10" t="s">
        <v>61</v>
      </c>
      <c r="R25" s="10"/>
      <c r="V25" s="1">
        <f>M30</f>
        <v>260000</v>
      </c>
      <c r="W25" s="10"/>
    </row>
    <row r="26" spans="2:23" ht="16.5" thickBot="1" x14ac:dyDescent="0.3">
      <c r="C26" s="1" t="s">
        <v>24</v>
      </c>
      <c r="G26" s="1">
        <v>680000</v>
      </c>
      <c r="M26" s="13">
        <f>SUM(M21:M25)</f>
        <v>360000</v>
      </c>
      <c r="N26" s="9"/>
      <c r="Q26" s="2" t="s">
        <v>41</v>
      </c>
      <c r="V26" s="4">
        <f>SUM(V23:V25)</f>
        <v>2395000</v>
      </c>
      <c r="W26" s="9"/>
    </row>
    <row r="27" spans="2:23" x14ac:dyDescent="0.25">
      <c r="C27" s="1" t="s">
        <v>25</v>
      </c>
      <c r="G27" s="1">
        <v>30000</v>
      </c>
      <c r="J27" s="1" t="s">
        <v>40</v>
      </c>
      <c r="W27" s="10"/>
    </row>
    <row r="28" spans="2:23" x14ac:dyDescent="0.25">
      <c r="C28" s="1" t="s">
        <v>26</v>
      </c>
      <c r="G28" s="1">
        <v>250000</v>
      </c>
      <c r="J28" s="1" t="str">
        <f>J24</f>
        <v xml:space="preserve">Furniture and fittings </v>
      </c>
      <c r="M28" s="1">
        <f>-M24*0.1</f>
        <v>-25000</v>
      </c>
      <c r="Q28" s="1" t="str">
        <f>B32</f>
        <v>(ii) Compute tax payable (if any) from the income computed in (c) (i) above. (2 marks)</v>
      </c>
    </row>
    <row r="29" spans="2:23" x14ac:dyDescent="0.25">
      <c r="C29" s="1" t="s">
        <v>27</v>
      </c>
      <c r="G29" s="1">
        <v>300000</v>
      </c>
      <c r="J29" s="1" t="str">
        <f>J25</f>
        <v xml:space="preserve">Computers </v>
      </c>
      <c r="M29" s="1">
        <f>-M25*0.25</f>
        <v>-75000</v>
      </c>
    </row>
    <row r="30" spans="2:23" ht="16.5" thickBot="1" x14ac:dyDescent="0.3">
      <c r="B30" s="1" t="s">
        <v>28</v>
      </c>
      <c r="J30" s="1" t="s">
        <v>60</v>
      </c>
      <c r="M30" s="4">
        <f>SUM(M26:M29)</f>
        <v>260000</v>
      </c>
      <c r="N30" s="9"/>
      <c r="Q30" s="1" t="s">
        <v>42</v>
      </c>
      <c r="T30" s="1">
        <f>288000*0.1*6/12</f>
        <v>14400</v>
      </c>
    </row>
    <row r="31" spans="2:23" x14ac:dyDescent="0.25">
      <c r="B31" s="1" t="s">
        <v>29</v>
      </c>
      <c r="Q31" s="1" t="s">
        <v>62</v>
      </c>
      <c r="T31" s="1">
        <f>100000*0.25*6/12</f>
        <v>12500</v>
      </c>
    </row>
    <row r="32" spans="2:23" x14ac:dyDescent="0.25">
      <c r="B32" s="1" t="s">
        <v>30</v>
      </c>
      <c r="Q32" s="1" t="s">
        <v>63</v>
      </c>
      <c r="S32" s="10"/>
      <c r="T32" s="1">
        <f>(V26-M33)*0.3</f>
        <v>664776.92307692312</v>
      </c>
    </row>
    <row r="33" spans="13:20" x14ac:dyDescent="0.25">
      <c r="M33" s="1">
        <f>388000*6/13</f>
        <v>179076.92307692306</v>
      </c>
      <c r="Q33" s="2" t="s">
        <v>43</v>
      </c>
      <c r="S33" s="9"/>
      <c r="T33" s="3">
        <f>SUM(T30:T32)</f>
        <v>691676.92307692312</v>
      </c>
    </row>
    <row r="34" spans="13:20" x14ac:dyDescent="0.25">
      <c r="Q34" s="1" t="s">
        <v>44</v>
      </c>
      <c r="S34" s="10"/>
      <c r="T34" s="1">
        <f>-(46000*6)</f>
        <v>-276000</v>
      </c>
    </row>
    <row r="35" spans="13:20" x14ac:dyDescent="0.25">
      <c r="Q35" s="1" t="s">
        <v>64</v>
      </c>
      <c r="S35" s="10"/>
      <c r="T35" s="1">
        <f>-2400*6</f>
        <v>-14400</v>
      </c>
    </row>
    <row r="36" spans="13:20" x14ac:dyDescent="0.25">
      <c r="Q36" s="1" t="s">
        <v>65</v>
      </c>
      <c r="S36" s="10"/>
    </row>
    <row r="37" spans="13:20" x14ac:dyDescent="0.25">
      <c r="R37" s="1" t="s">
        <v>66</v>
      </c>
      <c r="S37" s="10">
        <f>92000*6/12</f>
        <v>46000</v>
      </c>
    </row>
    <row r="38" spans="13:20" x14ac:dyDescent="0.25">
      <c r="R38" s="1" t="s">
        <v>37</v>
      </c>
      <c r="S38" s="10">
        <f>60000*6/12</f>
        <v>30000</v>
      </c>
      <c r="T38" s="1">
        <f>-S38</f>
        <v>-30000</v>
      </c>
    </row>
    <row r="39" spans="13:20" ht="16.5" thickBot="1" x14ac:dyDescent="0.3">
      <c r="P39" s="2"/>
      <c r="Q39" s="1" t="s">
        <v>67</v>
      </c>
      <c r="S39" s="9"/>
      <c r="T39" s="4">
        <f>SUM(T33:T38)</f>
        <v>371276.92307692312</v>
      </c>
    </row>
    <row r="40" spans="13:20" x14ac:dyDescent="0.25">
      <c r="S40" s="10"/>
    </row>
    <row r="41" spans="13:20" x14ac:dyDescent="0.25">
      <c r="S41" s="10"/>
    </row>
  </sheetData>
  <mergeCells count="2">
    <mergeCell ref="Q4:Y4"/>
    <mergeCell ref="R3:X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employment income</vt:lpstr>
      <vt:lpstr>tax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2023-08-19T07:42:20Z</dcterms:created>
  <dcterms:modified xsi:type="dcterms:W3CDTF">2023-08-21T04:34:41Z</dcterms:modified>
</cp:coreProperties>
</file>