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16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7" i="1" l="1"/>
  <c r="P66" i="1"/>
  <c r="X65" i="1"/>
  <c r="S63" i="1"/>
  <c r="U63" i="1" s="1"/>
  <c r="R55" i="1"/>
  <c r="U54" i="1"/>
  <c r="V54" i="1" s="1"/>
  <c r="W54" i="1" s="1"/>
  <c r="X54" i="1" s="1"/>
  <c r="T53" i="1"/>
  <c r="R53" i="1"/>
  <c r="Y45" i="1"/>
  <c r="P44" i="1"/>
  <c r="P67" i="1" s="1"/>
  <c r="P43" i="1"/>
  <c r="P42" i="1"/>
  <c r="P65" i="1" s="1"/>
  <c r="P41" i="1"/>
  <c r="P64" i="1" s="1"/>
  <c r="P39" i="1"/>
  <c r="P62" i="1" s="1"/>
  <c r="R32" i="1"/>
  <c r="T31" i="1"/>
  <c r="U31" i="1" s="1"/>
  <c r="V31" i="1" s="1"/>
  <c r="W31" i="1" s="1"/>
  <c r="X31" i="1" s="1"/>
  <c r="R31" i="1"/>
  <c r="R54" i="1" s="1"/>
  <c r="R30" i="1"/>
  <c r="T28" i="1"/>
  <c r="X21" i="1"/>
  <c r="X42" i="1" s="1"/>
  <c r="R21" i="1"/>
  <c r="T18" i="1"/>
  <c r="R18" i="1"/>
  <c r="P40" i="1" s="1"/>
  <c r="P63" i="1" s="1"/>
  <c r="T17" i="1"/>
  <c r="R17" i="1"/>
  <c r="L16" i="1"/>
  <c r="T55" i="1" s="1"/>
  <c r="U55" i="1" s="1"/>
  <c r="V55" i="1" s="1"/>
  <c r="W55" i="1" s="1"/>
  <c r="X55" i="1" s="1"/>
  <c r="K16" i="1"/>
  <c r="T32" i="1" s="1"/>
  <c r="U32" i="1" s="1"/>
  <c r="V32" i="1" s="1"/>
  <c r="W32" i="1" s="1"/>
  <c r="X32" i="1" s="1"/>
  <c r="L15" i="1"/>
  <c r="T54" i="1" s="1"/>
  <c r="K15" i="1"/>
  <c r="L14" i="1"/>
  <c r="K14" i="1"/>
  <c r="T30" i="1" s="1"/>
  <c r="T33" i="1" s="1"/>
  <c r="T13" i="1"/>
  <c r="L13" i="1"/>
  <c r="K13" i="1"/>
  <c r="S40" i="1" s="1"/>
  <c r="U40" i="1" s="1"/>
  <c r="Y12" i="1"/>
  <c r="L12" i="1"/>
  <c r="K12" i="1"/>
  <c r="L11" i="1"/>
  <c r="S62" i="1" s="1"/>
  <c r="K11" i="1"/>
  <c r="S39" i="1" s="1"/>
  <c r="T9" i="1"/>
  <c r="R9" i="1"/>
  <c r="R13" i="1" s="1"/>
  <c r="L9" i="1"/>
  <c r="T51" i="1" s="1"/>
  <c r="K9" i="1"/>
  <c r="U8" i="1"/>
  <c r="V8" i="1" s="1"/>
  <c r="W8" i="1" s="1"/>
  <c r="X8" i="1" s="1"/>
  <c r="T8" i="1"/>
  <c r="R8" i="1"/>
  <c r="T7" i="1"/>
  <c r="U7" i="1" s="1"/>
  <c r="V7" i="1" s="1"/>
  <c r="W7" i="1" s="1"/>
  <c r="X7" i="1" s="1"/>
  <c r="R7" i="1"/>
  <c r="T6" i="1"/>
  <c r="T10" i="1" s="1"/>
  <c r="R6" i="1"/>
  <c r="T4" i="1"/>
  <c r="S44" i="1" l="1"/>
  <c r="X43" i="1"/>
  <c r="X66" i="1" s="1"/>
  <c r="T34" i="1"/>
  <c r="T35" i="1" s="1"/>
  <c r="T36" i="1" s="1"/>
  <c r="T44" i="1" s="1"/>
  <c r="U41" i="1"/>
  <c r="V40" i="1"/>
  <c r="T11" i="1"/>
  <c r="T12" i="1" s="1"/>
  <c r="T14" i="1" s="1"/>
  <c r="T22" i="1" s="1"/>
  <c r="Y22" i="1"/>
  <c r="U18" i="1"/>
  <c r="T56" i="1"/>
  <c r="U53" i="1"/>
  <c r="U64" i="1"/>
  <c r="V63" i="1"/>
  <c r="U6" i="1"/>
  <c r="U30" i="1"/>
  <c r="U9" i="1"/>
  <c r="U56" i="1" l="1"/>
  <c r="V53" i="1"/>
  <c r="V41" i="1"/>
  <c r="W40" i="1"/>
  <c r="U10" i="1"/>
  <c r="V6" i="1"/>
  <c r="T57" i="1"/>
  <c r="T58" i="1" s="1"/>
  <c r="T59" i="1" s="1"/>
  <c r="T67" i="1" s="1"/>
  <c r="U13" i="1"/>
  <c r="V9" i="1"/>
  <c r="W63" i="1"/>
  <c r="V64" i="1"/>
  <c r="V18" i="1"/>
  <c r="U19" i="1"/>
  <c r="V30" i="1"/>
  <c r="U33" i="1"/>
  <c r="U34" i="1" l="1"/>
  <c r="U35" i="1" s="1"/>
  <c r="U36" i="1" s="1"/>
  <c r="U44" i="1" s="1"/>
  <c r="V13" i="1"/>
  <c r="W9" i="1"/>
  <c r="W13" i="1" s="1"/>
  <c r="V33" i="1"/>
  <c r="W30" i="1"/>
  <c r="V19" i="1"/>
  <c r="W18" i="1"/>
  <c r="X9" i="1"/>
  <c r="X13" i="1" s="1"/>
  <c r="V10" i="1"/>
  <c r="W6" i="1"/>
  <c r="V56" i="1"/>
  <c r="W53" i="1"/>
  <c r="Y13" i="1"/>
  <c r="Y14" i="1" s="1"/>
  <c r="X20" i="1" s="1"/>
  <c r="U11" i="1"/>
  <c r="U12" i="1" s="1"/>
  <c r="U14" i="1" s="1"/>
  <c r="U22" i="1" s="1"/>
  <c r="U57" i="1"/>
  <c r="U58" i="1" s="1"/>
  <c r="U59" i="1" s="1"/>
  <c r="U67" i="1" s="1"/>
  <c r="X63" i="1"/>
  <c r="X64" i="1" s="1"/>
  <c r="W64" i="1"/>
  <c r="W41" i="1"/>
  <c r="X40" i="1"/>
  <c r="X41" i="1" s="1"/>
  <c r="V11" i="1" l="1"/>
  <c r="V12" i="1" s="1"/>
  <c r="V14" i="1" s="1"/>
  <c r="V22" i="1" s="1"/>
  <c r="W33" i="1"/>
  <c r="X30" i="1"/>
  <c r="X33" i="1" s="1"/>
  <c r="W56" i="1"/>
  <c r="X53" i="1"/>
  <c r="X56" i="1" s="1"/>
  <c r="V34" i="1"/>
  <c r="V35" i="1"/>
  <c r="V36" i="1" s="1"/>
  <c r="V44" i="1" s="1"/>
  <c r="V57" i="1"/>
  <c r="V58" i="1" s="1"/>
  <c r="V59" i="1" s="1"/>
  <c r="V67" i="1" s="1"/>
  <c r="X18" i="1"/>
  <c r="X19" i="1" s="1"/>
  <c r="W19" i="1"/>
  <c r="W10" i="1"/>
  <c r="X6" i="1"/>
  <c r="X10" i="1" s="1"/>
  <c r="X11" i="1" l="1"/>
  <c r="X12" i="1" s="1"/>
  <c r="X14" i="1" s="1"/>
  <c r="X22" i="1" s="1"/>
  <c r="T25" i="1" s="1"/>
  <c r="X57" i="1"/>
  <c r="X58" i="1" s="1"/>
  <c r="X59" i="1" s="1"/>
  <c r="X67" i="1" s="1"/>
  <c r="W11" i="1"/>
  <c r="W12" i="1"/>
  <c r="W14" i="1" s="1"/>
  <c r="W22" i="1" s="1"/>
  <c r="T24" i="1" s="1"/>
  <c r="W58" i="1"/>
  <c r="W59" i="1" s="1"/>
  <c r="W67" i="1" s="1"/>
  <c r="W57" i="1"/>
  <c r="X34" i="1"/>
  <c r="X35" i="1" s="1"/>
  <c r="X36" i="1" s="1"/>
  <c r="X44" i="1" s="1"/>
  <c r="W34" i="1"/>
  <c r="W35" i="1"/>
  <c r="W36" i="1" s="1"/>
  <c r="W44" i="1" s="1"/>
  <c r="S47" i="1" l="1"/>
  <c r="S46" i="1"/>
  <c r="S70" i="1"/>
  <c r="S69" i="1"/>
</calcChain>
</file>

<file path=xl/sharedStrings.xml><?xml version="1.0" encoding="utf-8"?>
<sst xmlns="http://schemas.openxmlformats.org/spreadsheetml/2006/main" count="71" uniqueCount="54">
  <si>
    <t>SECTION II (60 MARKS)</t>
  </si>
  <si>
    <t>Question Twenty One</t>
  </si>
  <si>
    <t>Miwani Limited plans to invest in a 5-year project in the year 2024. However, the information on the project is not reliable.</t>
  </si>
  <si>
    <t>The company would wish to carry out a scenario analysis:</t>
  </si>
  <si>
    <t xml:space="preserve">The following data is available given three scenarios. The optimistic and pessimistic scenarios reflect the % variance </t>
  </si>
  <si>
    <t>from expected.</t>
  </si>
  <si>
    <t>Scenario</t>
  </si>
  <si>
    <t>Expected</t>
  </si>
  <si>
    <t>Optimistic</t>
  </si>
  <si>
    <t>Pessimistic</t>
  </si>
  <si>
    <t>Sh.</t>
  </si>
  <si>
    <t>PBT</t>
  </si>
  <si>
    <t xml:space="preserve">Initial Investment </t>
  </si>
  <si>
    <t>+30%</t>
  </si>
  <si>
    <t>TAX</t>
  </si>
  <si>
    <t>Before tax residual value</t>
  </si>
  <si>
    <t>+10%</t>
  </si>
  <si>
    <t>-10%</t>
  </si>
  <si>
    <t>AFTER TAX CASHFLOWS</t>
  </si>
  <si>
    <t>Initial working capital</t>
  </si>
  <si>
    <t>-5%</t>
  </si>
  <si>
    <t>+5%</t>
  </si>
  <si>
    <t>Revenues</t>
  </si>
  <si>
    <t>-15%</t>
  </si>
  <si>
    <t>OPERATING CASHFLOWS</t>
  </si>
  <si>
    <t>Direct costs</t>
  </si>
  <si>
    <t>-20%</t>
  </si>
  <si>
    <t>+20%</t>
  </si>
  <si>
    <t>Incremental fixed costs</t>
  </si>
  <si>
    <t xml:space="preserve">Capital allowance </t>
  </si>
  <si>
    <t>N/A</t>
  </si>
  <si>
    <t>Inflation rate</t>
  </si>
  <si>
    <t>3%</t>
  </si>
  <si>
    <t>8%</t>
  </si>
  <si>
    <t>INCREASE IN WC</t>
  </si>
  <si>
    <t>Tax rate</t>
  </si>
  <si>
    <t>TAX SAVINGS</t>
  </si>
  <si>
    <t>WACC RATE</t>
  </si>
  <si>
    <t>Additional information:</t>
  </si>
  <si>
    <t>TOTAL CASHSLOWS</t>
  </si>
  <si>
    <t xml:space="preserve">1.       The inflation rate applies to revenues, direct costs, incremental fixed costs and working capital. </t>
  </si>
  <si>
    <t xml:space="preserve">          Working capital will be recovered at the end of the project. </t>
  </si>
  <si>
    <t>NPV</t>
  </si>
  <si>
    <t xml:space="preserve">2.       Revenues and costs arise from year 1. </t>
  </si>
  <si>
    <t>IRR</t>
  </si>
  <si>
    <t>3.       The capital allowance rate is on reducing balance basis.</t>
  </si>
  <si>
    <t>4.       Tax will be applied on the gain/loss on disposal of the asset.</t>
  </si>
  <si>
    <t>5.       The weighted average cost of capital for the company is 15%.</t>
  </si>
  <si>
    <t>Required:</t>
  </si>
  <si>
    <t>Compute the following for each of the three scenarios:</t>
  </si>
  <si>
    <t xml:space="preserve">(a)        Net Present Value (NPV).                                                                                                    </t>
  </si>
  <si>
    <t xml:space="preserve">       (10 marks)</t>
  </si>
  <si>
    <t xml:space="preserve">(b)        Internal Rate of Return (IRR).                            </t>
  </si>
  <si>
    <t>(Total: 20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</si>
</sst>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9" fontId="2" fillId="0" borderId="0" xfId="1" applyFont="1"/>
    <xf numFmtId="164" fontId="2" fillId="0" borderId="0" xfId="0" applyNumberFormat="1" applyFont="1"/>
    <xf numFmtId="164" fontId="2" fillId="0" borderId="0" xfId="1" applyNumberFormat="1" applyFont="1"/>
    <xf numFmtId="164" fontId="3" fillId="2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0" borderId="2" xfId="0" applyNumberFormat="1" applyFont="1" applyBorder="1"/>
    <xf numFmtId="164" fontId="3" fillId="0" borderId="1" xfId="0" applyNumberFormat="1" applyFont="1" applyBorder="1"/>
    <xf numFmtId="164" fontId="3" fillId="0" borderId="3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70"/>
  <sheetViews>
    <sheetView tabSelected="1" topLeftCell="I40" workbookViewId="0">
      <selection activeCell="V75" sqref="V75"/>
    </sheetView>
  </sheetViews>
  <sheetFormatPr defaultRowHeight="15.75" x14ac:dyDescent="0.25"/>
  <cols>
    <col min="1" max="3" width="9.140625" style="2"/>
    <col min="4" max="4" width="12.42578125" style="2" bestFit="1" customWidth="1"/>
    <col min="5" max="6" width="9.28515625" style="2" bestFit="1" customWidth="1"/>
    <col min="7" max="10" width="9.140625" style="2"/>
    <col min="11" max="12" width="12.42578125" style="2" bestFit="1" customWidth="1"/>
    <col min="13" max="18" width="9.140625" style="2"/>
    <col min="19" max="20" width="14.7109375" style="2" bestFit="1" customWidth="1"/>
    <col min="21" max="22" width="12.7109375" style="2" bestFit="1" customWidth="1"/>
    <col min="23" max="23" width="13.85546875" style="2" bestFit="1" customWidth="1"/>
    <col min="24" max="24" width="14.7109375" style="2" bestFit="1" customWidth="1"/>
    <col min="25" max="25" width="14" style="2" bestFit="1" customWidth="1"/>
    <col min="26" max="16384" width="9.140625" style="2"/>
  </cols>
  <sheetData>
    <row r="2" spans="2:25" x14ac:dyDescent="0.25">
      <c r="B2" s="2" t="s">
        <v>0</v>
      </c>
    </row>
    <row r="3" spans="2:25" x14ac:dyDescent="0.25">
      <c r="B3" s="2" t="s">
        <v>1</v>
      </c>
    </row>
    <row r="4" spans="2:25" x14ac:dyDescent="0.25">
      <c r="B4" s="2" t="s">
        <v>2</v>
      </c>
      <c r="T4" s="4" t="str">
        <f>D9</f>
        <v>Expected</v>
      </c>
      <c r="U4" s="4"/>
      <c r="V4" s="4"/>
      <c r="W4" s="4"/>
    </row>
    <row r="5" spans="2:25" x14ac:dyDescent="0.25">
      <c r="B5" s="2" t="s">
        <v>3</v>
      </c>
      <c r="T5" s="9">
        <v>2024</v>
      </c>
      <c r="U5" s="9">
        <v>2025</v>
      </c>
      <c r="V5" s="9">
        <v>2026</v>
      </c>
      <c r="W5" s="9">
        <v>2027</v>
      </c>
      <c r="X5" s="9">
        <v>2028</v>
      </c>
    </row>
    <row r="6" spans="2:25" x14ac:dyDescent="0.25">
      <c r="R6" s="2" t="str">
        <f>B14</f>
        <v>Revenues</v>
      </c>
      <c r="T6" s="2">
        <f>D14</f>
        <v>140000000</v>
      </c>
      <c r="U6" s="2">
        <f>T$6*(1+$D$19)</f>
        <v>147000000</v>
      </c>
      <c r="V6" s="2">
        <f t="shared" ref="V6:X6" si="0">U$6*(1+$D$19)</f>
        <v>154350000</v>
      </c>
      <c r="W6" s="2">
        <f t="shared" si="0"/>
        <v>162067500</v>
      </c>
      <c r="X6" s="2">
        <f t="shared" si="0"/>
        <v>170170875</v>
      </c>
    </row>
    <row r="7" spans="2:25" x14ac:dyDescent="0.25">
      <c r="B7" s="2" t="s">
        <v>4</v>
      </c>
      <c r="R7" s="2" t="str">
        <f>B15</f>
        <v>Direct costs</v>
      </c>
      <c r="T7" s="2">
        <f>-D15</f>
        <v>-60000000</v>
      </c>
      <c r="U7" s="2">
        <f>T7*(1+$D$19)</f>
        <v>-63000000</v>
      </c>
      <c r="V7" s="2">
        <f t="shared" ref="V7:X7" si="1">U7*(1+$D$19)</f>
        <v>-66150000</v>
      </c>
      <c r="W7" s="2">
        <f t="shared" si="1"/>
        <v>-69457500</v>
      </c>
      <c r="X7" s="2">
        <f t="shared" si="1"/>
        <v>-72930375</v>
      </c>
    </row>
    <row r="8" spans="2:25" x14ac:dyDescent="0.25">
      <c r="B8" s="2" t="s">
        <v>5</v>
      </c>
      <c r="E8" s="2" t="s">
        <v>6</v>
      </c>
      <c r="R8" s="2" t="str">
        <f>B16</f>
        <v>Incremental fixed costs</v>
      </c>
      <c r="T8" s="2">
        <f>-D16</f>
        <v>-40000000</v>
      </c>
      <c r="U8" s="2">
        <f t="shared" ref="U8:X8" si="2">T8*(1+$D$19)</f>
        <v>-42000000</v>
      </c>
      <c r="V8" s="2">
        <f t="shared" si="2"/>
        <v>-44100000</v>
      </c>
      <c r="W8" s="2">
        <f t="shared" si="2"/>
        <v>-46305000</v>
      </c>
      <c r="X8" s="2">
        <f t="shared" si="2"/>
        <v>-48620250</v>
      </c>
    </row>
    <row r="9" spans="2:25" x14ac:dyDescent="0.25">
      <c r="D9" s="2" t="s">
        <v>7</v>
      </c>
      <c r="E9" s="2" t="s">
        <v>8</v>
      </c>
      <c r="F9" s="2" t="s">
        <v>9</v>
      </c>
      <c r="K9" s="2" t="str">
        <f>E9</f>
        <v>Optimistic</v>
      </c>
      <c r="L9" s="2" t="str">
        <f>F9</f>
        <v>Pessimistic</v>
      </c>
      <c r="R9" s="2" t="str">
        <f>B18</f>
        <v xml:space="preserve">Capital allowance </v>
      </c>
      <c r="T9" s="2">
        <f>-(D11-D12)*D18</f>
        <v>-24000000</v>
      </c>
      <c r="U9" s="2">
        <f>-(D11-D12+T9)*D18</f>
        <v>-16800000</v>
      </c>
      <c r="V9" s="2">
        <f>-(D11-D12+T9+U9)*D18</f>
        <v>-11760000</v>
      </c>
      <c r="W9" s="2">
        <f>-(D11-D12+T9+U9+V9)*D18</f>
        <v>-8232000</v>
      </c>
      <c r="X9" s="2">
        <f>-(D11-D12+T9+U9+V9+W9)*D18</f>
        <v>-5762400</v>
      </c>
    </row>
    <row r="10" spans="2:25" x14ac:dyDescent="0.25">
      <c r="D10" s="2" t="s">
        <v>10</v>
      </c>
      <c r="S10" s="2" t="s">
        <v>11</v>
      </c>
      <c r="T10" s="2">
        <f>SUM(T6:T9)</f>
        <v>16000000</v>
      </c>
      <c r="U10" s="2">
        <f t="shared" ref="U10:X10" si="3">SUM(U6:U9)</f>
        <v>25200000</v>
      </c>
      <c r="V10" s="2">
        <f t="shared" si="3"/>
        <v>32340000</v>
      </c>
      <c r="W10" s="2">
        <f t="shared" si="3"/>
        <v>38073000</v>
      </c>
      <c r="X10" s="2">
        <f t="shared" si="3"/>
        <v>42857850</v>
      </c>
    </row>
    <row r="11" spans="2:25" x14ac:dyDescent="0.25">
      <c r="B11" s="2" t="s">
        <v>12</v>
      </c>
      <c r="D11" s="2">
        <v>100000000</v>
      </c>
      <c r="E11" s="3">
        <v>-0.2</v>
      </c>
      <c r="F11" s="2" t="s">
        <v>13</v>
      </c>
      <c r="K11" s="2">
        <f>D11*(1+E11)</f>
        <v>80000000</v>
      </c>
      <c r="L11" s="2">
        <f>D11*(1+F11)</f>
        <v>130000000</v>
      </c>
      <c r="S11" s="2" t="s">
        <v>14</v>
      </c>
      <c r="T11" s="2">
        <f>-T10*D20</f>
        <v>-4800000</v>
      </c>
      <c r="U11" s="2">
        <f t="shared" ref="U11:V11" si="4">-U10*E20</f>
        <v>-7560000</v>
      </c>
      <c r="V11" s="2">
        <f t="shared" si="4"/>
        <v>-9702000</v>
      </c>
      <c r="W11" s="2">
        <f>-W10*D20</f>
        <v>-11421900</v>
      </c>
      <c r="X11" s="2">
        <f>-X10*E20</f>
        <v>-12857355</v>
      </c>
    </row>
    <row r="12" spans="2:25" x14ac:dyDescent="0.25">
      <c r="B12" s="2" t="s">
        <v>15</v>
      </c>
      <c r="D12" s="2">
        <v>20000000</v>
      </c>
      <c r="E12" s="2" t="s">
        <v>16</v>
      </c>
      <c r="F12" s="2" t="s">
        <v>17</v>
      </c>
      <c r="K12" s="2">
        <f t="shared" ref="K12:K15" si="5">D12*(1+E12)</f>
        <v>22000000</v>
      </c>
      <c r="L12" s="2">
        <f t="shared" ref="L12:L16" si="6">D12*(1+F12)</f>
        <v>18000000</v>
      </c>
      <c r="Q12" s="2" t="s">
        <v>18</v>
      </c>
      <c r="T12" s="2">
        <f>SUM(T10:T11)</f>
        <v>11200000</v>
      </c>
      <c r="U12" s="2">
        <f t="shared" ref="U12:X12" si="7">SUM(U10:U11)</f>
        <v>17640000</v>
      </c>
      <c r="V12" s="2">
        <f t="shared" si="7"/>
        <v>22638000</v>
      </c>
      <c r="W12" s="2">
        <f t="shared" si="7"/>
        <v>26651100</v>
      </c>
      <c r="X12" s="2">
        <f t="shared" si="7"/>
        <v>30000495</v>
      </c>
      <c r="Y12" s="2">
        <f>T17</f>
        <v>100000000</v>
      </c>
    </row>
    <row r="13" spans="2:25" x14ac:dyDescent="0.25">
      <c r="B13" s="2" t="s">
        <v>19</v>
      </c>
      <c r="D13" s="2">
        <v>15000000</v>
      </c>
      <c r="E13" s="2" t="s">
        <v>20</v>
      </c>
      <c r="F13" s="2" t="s">
        <v>21</v>
      </c>
      <c r="K13" s="2">
        <f t="shared" si="5"/>
        <v>14250000</v>
      </c>
      <c r="L13" s="2">
        <f t="shared" si="6"/>
        <v>15750000</v>
      </c>
      <c r="R13" s="2" t="str">
        <f>R9</f>
        <v xml:space="preserve">Capital allowance </v>
      </c>
      <c r="T13" s="2">
        <f>-T9</f>
        <v>24000000</v>
      </c>
      <c r="U13" s="2">
        <f t="shared" ref="U13:X13" si="8">-U9</f>
        <v>16800000</v>
      </c>
      <c r="V13" s="2">
        <f t="shared" si="8"/>
        <v>11760000</v>
      </c>
      <c r="W13" s="2">
        <f t="shared" si="8"/>
        <v>8232000</v>
      </c>
      <c r="X13" s="2">
        <f t="shared" si="8"/>
        <v>5762400</v>
      </c>
      <c r="Y13" s="2">
        <f>-SUM(T13:X13)</f>
        <v>-66554400</v>
      </c>
    </row>
    <row r="14" spans="2:25" x14ac:dyDescent="0.25">
      <c r="B14" s="2" t="s">
        <v>22</v>
      </c>
      <c r="D14" s="2">
        <v>140000000</v>
      </c>
      <c r="E14" s="2" t="s">
        <v>16</v>
      </c>
      <c r="F14" s="2" t="s">
        <v>23</v>
      </c>
      <c r="K14" s="2">
        <f t="shared" si="5"/>
        <v>154000000</v>
      </c>
      <c r="L14" s="2">
        <f t="shared" si="6"/>
        <v>119000000</v>
      </c>
      <c r="Q14" s="2" t="s">
        <v>24</v>
      </c>
      <c r="T14" s="7">
        <f>SUM(T12:T13)</f>
        <v>35200000</v>
      </c>
      <c r="U14" s="7">
        <f t="shared" ref="U14:X14" si="9">SUM(U12:U13)</f>
        <v>34440000</v>
      </c>
      <c r="V14" s="7">
        <f t="shared" si="9"/>
        <v>34398000</v>
      </c>
      <c r="W14" s="7">
        <f t="shared" si="9"/>
        <v>34883100</v>
      </c>
      <c r="X14" s="7">
        <f t="shared" si="9"/>
        <v>35762895</v>
      </c>
      <c r="Y14" s="2">
        <f>SUM(Y12:Y13)</f>
        <v>33445600</v>
      </c>
    </row>
    <row r="15" spans="2:25" x14ac:dyDescent="0.25">
      <c r="B15" s="2" t="s">
        <v>25</v>
      </c>
      <c r="D15" s="2">
        <v>60000000</v>
      </c>
      <c r="E15" s="2" t="s">
        <v>26</v>
      </c>
      <c r="F15" s="2" t="s">
        <v>27</v>
      </c>
      <c r="K15" s="2">
        <f t="shared" si="5"/>
        <v>48000000</v>
      </c>
      <c r="L15" s="2">
        <f t="shared" si="6"/>
        <v>72000000</v>
      </c>
    </row>
    <row r="16" spans="2:25" x14ac:dyDescent="0.25">
      <c r="B16" s="2" t="s">
        <v>28</v>
      </c>
      <c r="D16" s="2">
        <v>40000000</v>
      </c>
      <c r="E16" s="2" t="s">
        <v>17</v>
      </c>
      <c r="F16" s="2" t="s">
        <v>16</v>
      </c>
      <c r="K16" s="2">
        <f>D16*(1+E16)</f>
        <v>36000000</v>
      </c>
      <c r="L16" s="2">
        <f t="shared" si="6"/>
        <v>44000000</v>
      </c>
    </row>
    <row r="17" spans="2:25" x14ac:dyDescent="0.25">
      <c r="R17" s="2" t="str">
        <f>B11</f>
        <v xml:space="preserve">Initial Investment </v>
      </c>
      <c r="T17" s="2">
        <f>D11</f>
        <v>100000000</v>
      </c>
    </row>
    <row r="18" spans="2:25" x14ac:dyDescent="0.25">
      <c r="B18" s="2" t="s">
        <v>29</v>
      </c>
      <c r="D18" s="3">
        <v>0.3</v>
      </c>
      <c r="E18" s="2" t="s">
        <v>30</v>
      </c>
      <c r="F18" s="2" t="s">
        <v>30</v>
      </c>
      <c r="R18" s="2" t="str">
        <f>B13</f>
        <v>Initial working capital</v>
      </c>
      <c r="T18" s="2">
        <f>D13</f>
        <v>15000000</v>
      </c>
      <c r="U18" s="2">
        <f>T18*(1+$D$19)</f>
        <v>15750000</v>
      </c>
      <c r="V18" s="2">
        <f t="shared" ref="V18:X18" si="10">U18*(1+$D$19)</f>
        <v>16537500</v>
      </c>
      <c r="W18" s="2">
        <f t="shared" si="10"/>
        <v>17364375</v>
      </c>
      <c r="X18" s="2">
        <f t="shared" si="10"/>
        <v>18232593.75</v>
      </c>
    </row>
    <row r="19" spans="2:25" x14ac:dyDescent="0.25">
      <c r="B19" s="2" t="s">
        <v>31</v>
      </c>
      <c r="D19" s="3">
        <v>0.05</v>
      </c>
      <c r="E19" s="2" t="s">
        <v>32</v>
      </c>
      <c r="F19" s="2" t="s">
        <v>33</v>
      </c>
      <c r="R19" s="2" t="s">
        <v>34</v>
      </c>
      <c r="U19" s="2">
        <f>U18-T18</f>
        <v>750000</v>
      </c>
      <c r="V19" s="2">
        <f>V18-U18</f>
        <v>787500</v>
      </c>
      <c r="W19" s="2">
        <f t="shared" ref="W19:X19" si="11">W18-V18</f>
        <v>826875</v>
      </c>
      <c r="X19" s="2">
        <f t="shared" si="11"/>
        <v>868218.75</v>
      </c>
    </row>
    <row r="20" spans="2:25" x14ac:dyDescent="0.25">
      <c r="B20" s="2" t="s">
        <v>35</v>
      </c>
      <c r="D20" s="3">
        <v>0.3</v>
      </c>
      <c r="E20" s="3">
        <v>0.3</v>
      </c>
      <c r="F20" s="3">
        <v>0.3</v>
      </c>
      <c r="R20" s="2" t="s">
        <v>36</v>
      </c>
      <c r="X20" s="2">
        <f>(Y14-X21)*D20</f>
        <v>4033680</v>
      </c>
    </row>
    <row r="21" spans="2:25" x14ac:dyDescent="0.25">
      <c r="B21" s="2" t="s">
        <v>37</v>
      </c>
      <c r="D21" s="3">
        <v>0.15</v>
      </c>
      <c r="E21" s="3"/>
      <c r="F21" s="3"/>
      <c r="R21" s="2" t="str">
        <f>B12</f>
        <v>Before tax residual value</v>
      </c>
      <c r="X21" s="2">
        <f>D12</f>
        <v>20000000</v>
      </c>
    </row>
    <row r="22" spans="2:25" ht="16.5" thickBot="1" x14ac:dyDescent="0.3">
      <c r="B22" s="2" t="s">
        <v>38</v>
      </c>
      <c r="R22" s="2" t="s">
        <v>39</v>
      </c>
      <c r="T22" s="8">
        <f>T14</f>
        <v>35200000</v>
      </c>
      <c r="U22" s="8">
        <f>U14-U19</f>
        <v>33690000</v>
      </c>
      <c r="V22" s="8">
        <f>V14-V19</f>
        <v>33610500</v>
      </c>
      <c r="W22" s="8">
        <f>W14-W19</f>
        <v>34056225</v>
      </c>
      <c r="X22" s="8">
        <f>X14+X18+X20+X21</f>
        <v>78029168.75</v>
      </c>
      <c r="Y22" s="2">
        <f>-(T17+T18)</f>
        <v>-115000000</v>
      </c>
    </row>
    <row r="23" spans="2:25" x14ac:dyDescent="0.25">
      <c r="B23" s="2" t="s">
        <v>40</v>
      </c>
    </row>
    <row r="24" spans="2:25" x14ac:dyDescent="0.25">
      <c r="B24" s="2" t="s">
        <v>41</v>
      </c>
      <c r="S24" s="2" t="s">
        <v>42</v>
      </c>
      <c r="T24" s="2">
        <f>NPV(D21,T22:X22)+Y22</f>
        <v>21448669.687118948</v>
      </c>
    </row>
    <row r="25" spans="2:25" x14ac:dyDescent="0.25">
      <c r="B25" s="2" t="s">
        <v>43</v>
      </c>
      <c r="S25" s="2" t="s">
        <v>44</v>
      </c>
      <c r="T25" s="1">
        <f>IRR(T22:Y22)</f>
        <v>-0.23639433271064925</v>
      </c>
    </row>
    <row r="26" spans="2:25" x14ac:dyDescent="0.25">
      <c r="B26" s="2" t="s">
        <v>45</v>
      </c>
    </row>
    <row r="27" spans="2:25" x14ac:dyDescent="0.25">
      <c r="B27" s="2" t="s">
        <v>46</v>
      </c>
    </row>
    <row r="28" spans="2:25" x14ac:dyDescent="0.25">
      <c r="B28" s="2" t="s">
        <v>47</v>
      </c>
      <c r="T28" s="6" t="str">
        <f>K9</f>
        <v>Optimistic</v>
      </c>
      <c r="U28" s="6"/>
      <c r="V28" s="6"/>
      <c r="W28" s="6"/>
    </row>
    <row r="29" spans="2:25" x14ac:dyDescent="0.25">
      <c r="T29" s="9">
        <v>2024</v>
      </c>
      <c r="U29" s="9">
        <v>2025</v>
      </c>
      <c r="V29" s="9">
        <v>2026</v>
      </c>
      <c r="W29" s="9">
        <v>2027</v>
      </c>
      <c r="X29" s="9">
        <v>2028</v>
      </c>
    </row>
    <row r="30" spans="2:25" x14ac:dyDescent="0.25">
      <c r="B30" s="2" t="s">
        <v>48</v>
      </c>
      <c r="R30" s="2" t="str">
        <f>R6</f>
        <v>Revenues</v>
      </c>
      <c r="T30" s="2">
        <f>K14</f>
        <v>154000000</v>
      </c>
      <c r="U30" s="2">
        <f>T$30*(1+$E$19)</f>
        <v>158620000</v>
      </c>
      <c r="V30" s="2">
        <f t="shared" ref="V30:X30" si="12">U$30*(1+$E$19)</f>
        <v>163378600</v>
      </c>
      <c r="W30" s="2">
        <f t="shared" si="12"/>
        <v>168279958</v>
      </c>
      <c r="X30" s="2">
        <f t="shared" si="12"/>
        <v>173328356.74000001</v>
      </c>
    </row>
    <row r="31" spans="2:25" x14ac:dyDescent="0.25">
      <c r="B31" s="2" t="s">
        <v>49</v>
      </c>
      <c r="R31" s="2" t="str">
        <f>R7</f>
        <v>Direct costs</v>
      </c>
      <c r="T31" s="2">
        <f>-K15</f>
        <v>-48000000</v>
      </c>
      <c r="U31" s="2">
        <f>T31*(1+$E$19)</f>
        <v>-49440000</v>
      </c>
      <c r="V31" s="2">
        <f t="shared" ref="V31:X32" si="13">U31*(1+$E$19)</f>
        <v>-50923200</v>
      </c>
      <c r="W31" s="2">
        <f t="shared" si="13"/>
        <v>-52450896</v>
      </c>
      <c r="X31" s="2">
        <f t="shared" si="13"/>
        <v>-54024422.880000003</v>
      </c>
    </row>
    <row r="32" spans="2:25" x14ac:dyDescent="0.25">
      <c r="B32" s="2" t="s">
        <v>50</v>
      </c>
      <c r="M32" s="2" t="s">
        <v>51</v>
      </c>
      <c r="R32" s="2" t="str">
        <f>R8</f>
        <v>Incremental fixed costs</v>
      </c>
      <c r="T32" s="2">
        <f>-K16</f>
        <v>-36000000</v>
      </c>
      <c r="U32" s="2">
        <f>T32*(1+$E$19)</f>
        <v>-37080000</v>
      </c>
      <c r="V32" s="2">
        <f t="shared" si="13"/>
        <v>-38192400</v>
      </c>
      <c r="W32" s="2">
        <f t="shared" si="13"/>
        <v>-39338172</v>
      </c>
      <c r="X32" s="2">
        <f t="shared" si="13"/>
        <v>-40518317.160000004</v>
      </c>
    </row>
    <row r="33" spans="2:25" x14ac:dyDescent="0.25">
      <c r="B33" s="2" t="s">
        <v>52</v>
      </c>
      <c r="M33" s="2" t="s">
        <v>51</v>
      </c>
      <c r="S33" s="2" t="s">
        <v>11</v>
      </c>
      <c r="T33" s="2">
        <f>SUM(T30:T32)</f>
        <v>70000000</v>
      </c>
      <c r="U33" s="2">
        <f t="shared" ref="U33:X33" si="14">SUM(U30:U32)</f>
        <v>72100000</v>
      </c>
      <c r="V33" s="2">
        <f t="shared" si="14"/>
        <v>74263000</v>
      </c>
      <c r="W33" s="2">
        <f t="shared" si="14"/>
        <v>76490890</v>
      </c>
      <c r="X33" s="2">
        <f t="shared" si="14"/>
        <v>78785616.700000018</v>
      </c>
    </row>
    <row r="34" spans="2:25" x14ac:dyDescent="0.25">
      <c r="M34" s="2" t="s">
        <v>53</v>
      </c>
      <c r="S34" s="2" t="s">
        <v>14</v>
      </c>
      <c r="T34" s="2">
        <f>-T33*E20</f>
        <v>-21000000</v>
      </c>
      <c r="U34" s="2">
        <f t="shared" ref="U34" si="15">-U33*F20</f>
        <v>-21630000</v>
      </c>
      <c r="V34" s="2">
        <f>-V33*30%</f>
        <v>-22278900</v>
      </c>
      <c r="W34" s="2">
        <f t="shared" ref="W34:X34" si="16">-W33*30%</f>
        <v>-22947267</v>
      </c>
      <c r="X34" s="2">
        <f t="shared" si="16"/>
        <v>-23635685.010000005</v>
      </c>
    </row>
    <row r="35" spans="2:25" x14ac:dyDescent="0.25">
      <c r="Q35" s="2" t="s">
        <v>18</v>
      </c>
      <c r="T35" s="2">
        <f>SUM(T33:T34)</f>
        <v>49000000</v>
      </c>
      <c r="U35" s="2">
        <f t="shared" ref="U35:X35" si="17">SUM(U33:U34)</f>
        <v>50470000</v>
      </c>
      <c r="V35" s="2">
        <f t="shared" si="17"/>
        <v>51984100</v>
      </c>
      <c r="W35" s="2">
        <f t="shared" si="17"/>
        <v>53543623</v>
      </c>
      <c r="X35" s="2">
        <f t="shared" si="17"/>
        <v>55149931.690000013</v>
      </c>
    </row>
    <row r="36" spans="2:25" x14ac:dyDescent="0.25">
      <c r="Q36" s="2" t="s">
        <v>24</v>
      </c>
      <c r="T36" s="7">
        <f>T35</f>
        <v>49000000</v>
      </c>
      <c r="U36" s="7">
        <f>SUM(U35:U35)</f>
        <v>50470000</v>
      </c>
      <c r="V36" s="7">
        <f>SUM(V35:V35)</f>
        <v>51984100</v>
      </c>
      <c r="W36" s="7">
        <f>SUM(W35:W35)</f>
        <v>53543623</v>
      </c>
      <c r="X36" s="7">
        <f>SUM(X35:X35)</f>
        <v>55149931.690000013</v>
      </c>
    </row>
    <row r="39" spans="2:25" x14ac:dyDescent="0.25">
      <c r="P39" s="2" t="str">
        <f>R17</f>
        <v xml:space="preserve">Initial Investment </v>
      </c>
      <c r="S39" s="2">
        <f>K11</f>
        <v>80000000</v>
      </c>
    </row>
    <row r="40" spans="2:25" x14ac:dyDescent="0.25">
      <c r="P40" s="2" t="str">
        <f>R18</f>
        <v>Initial working capital</v>
      </c>
      <c r="S40" s="2">
        <f>K13</f>
        <v>14250000</v>
      </c>
      <c r="U40" s="2">
        <f>S$40*(1+$E$19)</f>
        <v>14677500</v>
      </c>
      <c r="V40" s="2">
        <f>U40*(1+$E$19)</f>
        <v>15117825</v>
      </c>
      <c r="W40" s="2">
        <f t="shared" ref="W40:X40" si="18">V40*(1+$E$19)</f>
        <v>15571359.75</v>
      </c>
      <c r="X40" s="2">
        <f t="shared" si="18"/>
        <v>16038500.5425</v>
      </c>
    </row>
    <row r="41" spans="2:25" x14ac:dyDescent="0.25">
      <c r="P41" s="2" t="str">
        <f>R19</f>
        <v>INCREASE IN WC</v>
      </c>
      <c r="U41" s="2">
        <f>U40-S40</f>
        <v>427500</v>
      </c>
      <c r="V41" s="2">
        <f>V40-U40</f>
        <v>440325</v>
      </c>
      <c r="W41" s="2">
        <f t="shared" ref="W41:X41" si="19">W40-V40</f>
        <v>453534.75</v>
      </c>
      <c r="X41" s="2">
        <f t="shared" si="19"/>
        <v>467140.79250000045</v>
      </c>
    </row>
    <row r="42" spans="2:25" x14ac:dyDescent="0.25">
      <c r="P42" s="2" t="str">
        <f>R21</f>
        <v>Before tax residual value</v>
      </c>
      <c r="X42" s="2">
        <f>X21</f>
        <v>20000000</v>
      </c>
    </row>
    <row r="43" spans="2:25" x14ac:dyDescent="0.25">
      <c r="P43" s="2" t="str">
        <f>R20</f>
        <v>TAX SAVINGS</v>
      </c>
      <c r="X43" s="2">
        <f>(S39-X42)*E20</f>
        <v>18000000</v>
      </c>
    </row>
    <row r="44" spans="2:25" ht="16.5" thickBot="1" x14ac:dyDescent="0.3">
      <c r="P44" s="2" t="str">
        <f>R22</f>
        <v>TOTAL CASHSLOWS</v>
      </c>
      <c r="S44" s="8">
        <f>-(S39+S40)</f>
        <v>-94250000</v>
      </c>
      <c r="T44" s="8">
        <f>T36</f>
        <v>49000000</v>
      </c>
      <c r="U44" s="8">
        <f>U36-U41</f>
        <v>50042500</v>
      </c>
      <c r="V44" s="8">
        <f>V36-V41</f>
        <v>51543775</v>
      </c>
      <c r="W44" s="8">
        <f>W36-W41</f>
        <v>53090088.25</v>
      </c>
      <c r="X44" s="8">
        <f>X36+X40+X42+X43</f>
        <v>109188432.23250002</v>
      </c>
    </row>
    <row r="45" spans="2:25" x14ac:dyDescent="0.25">
      <c r="Y45" s="2">
        <f>-(T40+T41)</f>
        <v>0</v>
      </c>
    </row>
    <row r="46" spans="2:25" x14ac:dyDescent="0.25">
      <c r="P46" s="2" t="s">
        <v>42</v>
      </c>
      <c r="S46" s="2">
        <f>NPV(D21,T44:X44)+S44</f>
        <v>104729262.40164644</v>
      </c>
    </row>
    <row r="47" spans="2:25" x14ac:dyDescent="0.25">
      <c r="P47" s="2" t="s">
        <v>44</v>
      </c>
      <c r="S47" s="1">
        <f>IRR(S44:X44)</f>
        <v>0.5050768202426581</v>
      </c>
    </row>
    <row r="51" spans="16:24" x14ac:dyDescent="0.25">
      <c r="T51" s="5" t="str">
        <f>L9</f>
        <v>Pessimistic</v>
      </c>
      <c r="U51" s="5"/>
      <c r="V51" s="5"/>
      <c r="W51" s="5"/>
    </row>
    <row r="52" spans="16:24" x14ac:dyDescent="0.25">
      <c r="T52" s="9">
        <v>2024</v>
      </c>
      <c r="U52" s="9">
        <v>2025</v>
      </c>
      <c r="V52" s="9">
        <v>2026</v>
      </c>
      <c r="W52" s="9">
        <v>2027</v>
      </c>
      <c r="X52" s="9">
        <v>2028</v>
      </c>
    </row>
    <row r="53" spans="16:24" x14ac:dyDescent="0.25">
      <c r="R53" s="2" t="str">
        <f>R30</f>
        <v>Revenues</v>
      </c>
      <c r="T53" s="2">
        <f>L14</f>
        <v>119000000</v>
      </c>
      <c r="U53" s="2">
        <f>T53*(1+$F$19)</f>
        <v>128520000.00000001</v>
      </c>
      <c r="V53" s="2">
        <f t="shared" ref="V53:X55" si="20">U53*(1+$F$19)</f>
        <v>138801600.00000003</v>
      </c>
      <c r="W53" s="2">
        <f t="shared" si="20"/>
        <v>149905728.00000003</v>
      </c>
      <c r="X53" s="2">
        <f t="shared" si="20"/>
        <v>161898186.24000004</v>
      </c>
    </row>
    <row r="54" spans="16:24" x14ac:dyDescent="0.25">
      <c r="R54" s="2" t="str">
        <f>R31</f>
        <v>Direct costs</v>
      </c>
      <c r="T54" s="2">
        <f>-L15</f>
        <v>-72000000</v>
      </c>
      <c r="U54" s="2">
        <f>T54*(1+$F$19)</f>
        <v>-77760000</v>
      </c>
      <c r="V54" s="2">
        <f t="shared" si="20"/>
        <v>-83980800</v>
      </c>
      <c r="W54" s="2">
        <f t="shared" si="20"/>
        <v>-90699264</v>
      </c>
      <c r="X54" s="2">
        <f t="shared" si="20"/>
        <v>-97955205.120000005</v>
      </c>
    </row>
    <row r="55" spans="16:24" x14ac:dyDescent="0.25">
      <c r="R55" s="2" t="str">
        <f>R32</f>
        <v>Incremental fixed costs</v>
      </c>
      <c r="T55" s="2">
        <f>-L16</f>
        <v>-44000000</v>
      </c>
      <c r="U55" s="2">
        <f>T55*(1+$F$19)</f>
        <v>-47520000</v>
      </c>
      <c r="V55" s="2">
        <f t="shared" si="20"/>
        <v>-51321600</v>
      </c>
      <c r="W55" s="2">
        <f t="shared" si="20"/>
        <v>-55427328</v>
      </c>
      <c r="X55" s="2">
        <f t="shared" si="20"/>
        <v>-59861514.240000002</v>
      </c>
    </row>
    <row r="56" spans="16:24" x14ac:dyDescent="0.25">
      <c r="S56" s="2" t="s">
        <v>11</v>
      </c>
      <c r="T56" s="2">
        <f>SUM(T53:T55)</f>
        <v>3000000</v>
      </c>
      <c r="U56" s="2">
        <f t="shared" ref="U56:X56" si="21">SUM(U53:U55)</f>
        <v>3240000.0000000149</v>
      </c>
      <c r="V56" s="2">
        <f t="shared" si="21"/>
        <v>3499200.0000000298</v>
      </c>
      <c r="W56" s="2">
        <f t="shared" si="21"/>
        <v>3779136.0000000298</v>
      </c>
      <c r="X56" s="2">
        <f t="shared" si="21"/>
        <v>4081466.8800000325</v>
      </c>
    </row>
    <row r="57" spans="16:24" x14ac:dyDescent="0.25">
      <c r="S57" s="2" t="s">
        <v>14</v>
      </c>
      <c r="T57" s="2">
        <f>-T56*$F$20</f>
        <v>-900000</v>
      </c>
      <c r="U57" s="2">
        <f t="shared" ref="U57:X57" si="22">-U56*$F$20</f>
        <v>-972000.00000000442</v>
      </c>
      <c r="V57" s="2">
        <f t="shared" si="22"/>
        <v>-1049760.0000000088</v>
      </c>
      <c r="W57" s="2">
        <f t="shared" si="22"/>
        <v>-1133740.8000000089</v>
      </c>
      <c r="X57" s="2">
        <f t="shared" si="22"/>
        <v>-1224440.0640000098</v>
      </c>
    </row>
    <row r="58" spans="16:24" x14ac:dyDescent="0.25">
      <c r="Q58" s="2" t="s">
        <v>18</v>
      </c>
      <c r="T58" s="2">
        <f>SUM(T56:T57)</f>
        <v>2100000</v>
      </c>
      <c r="U58" s="2">
        <f t="shared" ref="U58:X58" si="23">SUM(U56:U57)</f>
        <v>2268000.0000000102</v>
      </c>
      <c r="V58" s="2">
        <f t="shared" si="23"/>
        <v>2449440.000000021</v>
      </c>
      <c r="W58" s="2">
        <f t="shared" si="23"/>
        <v>2645395.2000000207</v>
      </c>
      <c r="X58" s="2">
        <f t="shared" si="23"/>
        <v>2857026.8160000229</v>
      </c>
    </row>
    <row r="59" spans="16:24" x14ac:dyDescent="0.25">
      <c r="Q59" s="2" t="s">
        <v>24</v>
      </c>
      <c r="T59" s="7">
        <f>T58</f>
        <v>2100000</v>
      </c>
      <c r="U59" s="7">
        <f>SUM(U58:U58)</f>
        <v>2268000.0000000102</v>
      </c>
      <c r="V59" s="7">
        <f>SUM(V58:V58)</f>
        <v>2449440.000000021</v>
      </c>
      <c r="W59" s="7">
        <f>SUM(W58:W58)</f>
        <v>2645395.2000000207</v>
      </c>
      <c r="X59" s="7">
        <f>SUM(X58:X58)</f>
        <v>2857026.8160000229</v>
      </c>
    </row>
    <row r="62" spans="16:24" x14ac:dyDescent="0.25">
      <c r="P62" s="2" t="str">
        <f t="shared" ref="P62:P67" si="24">P39</f>
        <v xml:space="preserve">Initial Investment </v>
      </c>
      <c r="S62" s="2">
        <f>L11</f>
        <v>130000000</v>
      </c>
    </row>
    <row r="63" spans="16:24" x14ac:dyDescent="0.25">
      <c r="P63" s="2" t="str">
        <f t="shared" si="24"/>
        <v>Initial working capital</v>
      </c>
      <c r="S63" s="2">
        <f>L13</f>
        <v>15750000</v>
      </c>
      <c r="U63" s="2">
        <f>S$63*(1+$F$19)</f>
        <v>17010000</v>
      </c>
      <c r="V63" s="2">
        <f>U63*(1+$F$19)</f>
        <v>18370800</v>
      </c>
      <c r="W63" s="2">
        <f t="shared" ref="W63:X63" si="25">V63*(1+$F$19)</f>
        <v>19840464</v>
      </c>
      <c r="X63" s="2">
        <f t="shared" si="25"/>
        <v>21427701.120000001</v>
      </c>
    </row>
    <row r="64" spans="16:24" x14ac:dyDescent="0.25">
      <c r="P64" s="2" t="str">
        <f t="shared" si="24"/>
        <v>INCREASE IN WC</v>
      </c>
      <c r="U64" s="2">
        <f>U63-S63</f>
        <v>1260000</v>
      </c>
      <c r="V64" s="2">
        <f>V63-U63</f>
        <v>1360800</v>
      </c>
      <c r="W64" s="2">
        <f t="shared" ref="W64:X64" si="26">W63-V63</f>
        <v>1469664</v>
      </c>
      <c r="X64" s="2">
        <f t="shared" si="26"/>
        <v>1587237.120000001</v>
      </c>
    </row>
    <row r="65" spans="16:24" x14ac:dyDescent="0.25">
      <c r="P65" s="2" t="str">
        <f t="shared" si="24"/>
        <v>Before tax residual value</v>
      </c>
      <c r="X65" s="2">
        <f>X42</f>
        <v>20000000</v>
      </c>
    </row>
    <row r="66" spans="16:24" x14ac:dyDescent="0.25">
      <c r="P66" s="2" t="str">
        <f t="shared" si="24"/>
        <v>TAX SAVINGS</v>
      </c>
      <c r="X66" s="2">
        <f>X43</f>
        <v>18000000</v>
      </c>
    </row>
    <row r="67" spans="16:24" ht="16.5" thickBot="1" x14ac:dyDescent="0.3">
      <c r="P67" s="2" t="str">
        <f t="shared" si="24"/>
        <v>TOTAL CASHSLOWS</v>
      </c>
      <c r="S67" s="8">
        <f>-(S62+S63)</f>
        <v>-145750000</v>
      </c>
      <c r="T67" s="8">
        <f>T59</f>
        <v>2100000</v>
      </c>
      <c r="U67" s="8">
        <f>U59-U64</f>
        <v>1008000.0000000102</v>
      </c>
      <c r="V67" s="8">
        <f>V59-V64</f>
        <v>1088640.000000021</v>
      </c>
      <c r="W67" s="8">
        <f>W59-W64</f>
        <v>1175731.2000000207</v>
      </c>
      <c r="X67" s="8">
        <f>X59+X63+X65+X66</f>
        <v>62284727.936000019</v>
      </c>
    </row>
    <row r="69" spans="16:24" x14ac:dyDescent="0.25">
      <c r="P69" s="2" t="s">
        <v>42</v>
      </c>
      <c r="S69" s="2">
        <f>NPV(D21,T67:X67)+S67</f>
        <v>-110807175.93186063</v>
      </c>
    </row>
    <row r="70" spans="16:24" x14ac:dyDescent="0.25">
      <c r="P70" s="2" t="s">
        <v>44</v>
      </c>
      <c r="S70" s="1">
        <f>IRR(S67:X67)</f>
        <v>-0.14700599941990544</v>
      </c>
    </row>
  </sheetData>
  <mergeCells count="3">
    <mergeCell ref="T4:W4"/>
    <mergeCell ref="T28:W28"/>
    <mergeCell ref="T51:W5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2023-08-21T16:55:49Z</dcterms:created>
  <dcterms:modified xsi:type="dcterms:W3CDTF">2023-08-21T17:08:19Z</dcterms:modified>
</cp:coreProperties>
</file>