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cuments\"/>
    </mc:Choice>
  </mc:AlternateContent>
  <bookViews>
    <workbookView xWindow="0" yWindow="0" windowWidth="21600" windowHeight="9630" firstSheet="2" activeTab="4"/>
  </bookViews>
  <sheets>
    <sheet name="NPV" sheetId="1" r:id="rId1"/>
    <sheet name="common size" sheetId="2" r:id="rId2"/>
    <sheet name="SCENARIO ANALYSIS" sheetId="4" r:id="rId3"/>
    <sheet name="flexible budget" sheetId="5" r:id="rId4"/>
    <sheet name="CONSOLIDATED CASHFLOW"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6" i="3" l="1"/>
  <c r="U35" i="3"/>
  <c r="U34" i="3"/>
  <c r="U33" i="3"/>
  <c r="T32" i="3"/>
  <c r="O32" i="3"/>
  <c r="T31" i="3"/>
  <c r="O31" i="3"/>
  <c r="T30" i="3"/>
  <c r="T29" i="3"/>
  <c r="T28" i="3"/>
  <c r="T27" i="3"/>
  <c r="O28" i="3"/>
  <c r="O27" i="3"/>
  <c r="U25" i="3"/>
  <c r="T24" i="3"/>
  <c r="T23" i="3"/>
  <c r="O23" i="3"/>
  <c r="T22" i="3"/>
  <c r="U20" i="3"/>
  <c r="U19" i="3"/>
  <c r="T11" i="3"/>
  <c r="U12" i="3" s="1"/>
  <c r="U13" i="3" s="1"/>
  <c r="U18" i="3" s="1"/>
  <c r="U17" i="3"/>
  <c r="T17" i="3"/>
  <c r="T16" i="3"/>
  <c r="T15" i="3"/>
  <c r="O17" i="3"/>
  <c r="O16" i="3"/>
  <c r="O15" i="3"/>
  <c r="T12" i="3"/>
  <c r="L15" i="3"/>
  <c r="L14" i="3"/>
  <c r="L13" i="3"/>
  <c r="L12" i="3"/>
  <c r="L11" i="3"/>
  <c r="J65" i="3"/>
  <c r="L10" i="3"/>
  <c r="T10" i="3"/>
  <c r="L8" i="3"/>
  <c r="L7" i="3"/>
  <c r="T9" i="3"/>
  <c r="O9" i="3"/>
  <c r="T8" i="3"/>
  <c r="O8" i="3"/>
  <c r="U7" i="3"/>
  <c r="O7" i="3"/>
  <c r="L6" i="5" l="1"/>
  <c r="N3" i="5"/>
  <c r="O22" i="1"/>
  <c r="J30" i="1"/>
  <c r="T20" i="1"/>
  <c r="P20" i="1"/>
  <c r="Q20" i="1"/>
  <c r="R20" i="1"/>
  <c r="S20" i="1"/>
  <c r="O20" i="1"/>
  <c r="N20" i="1"/>
  <c r="T19" i="1"/>
  <c r="V11" i="1"/>
  <c r="T17" i="1"/>
  <c r="P17" i="1"/>
  <c r="Q17" i="1"/>
  <c r="R17" i="1"/>
  <c r="S17" i="1"/>
  <c r="O17" i="1"/>
  <c r="S16" i="1"/>
  <c r="R16" i="1"/>
  <c r="Q16" i="1"/>
  <c r="P16" i="1"/>
  <c r="O16" i="1"/>
  <c r="N16" i="1"/>
  <c r="N15" i="1"/>
  <c r="P12" i="1"/>
  <c r="Q12" i="1"/>
  <c r="R12" i="1"/>
  <c r="S12" i="1"/>
  <c r="T12" i="1"/>
  <c r="O12" i="1"/>
  <c r="P11" i="1"/>
  <c r="Q11" i="1"/>
  <c r="R11" i="1"/>
  <c r="S11" i="1"/>
  <c r="T11" i="1"/>
  <c r="O11" i="1"/>
  <c r="M11" i="1"/>
  <c r="P10" i="1"/>
  <c r="Q10" i="1"/>
  <c r="R10" i="1"/>
  <c r="S10" i="1"/>
  <c r="T10" i="1"/>
  <c r="O10" i="1"/>
  <c r="Q9" i="1"/>
  <c r="R9" i="1"/>
  <c r="S9" i="1"/>
  <c r="T9" i="1"/>
  <c r="P9" i="1"/>
  <c r="J29" i="1"/>
  <c r="P8" i="1"/>
  <c r="Q8" i="1"/>
  <c r="R8" i="1"/>
  <c r="S8" i="1"/>
  <c r="T8" i="1"/>
  <c r="O8" i="1"/>
  <c r="T7" i="1"/>
  <c r="S7" i="1"/>
  <c r="R7" i="1"/>
  <c r="Q7" i="1"/>
  <c r="P7" i="1"/>
  <c r="O7" i="1"/>
  <c r="R5" i="1"/>
  <c r="S5" i="1"/>
  <c r="T5" i="1"/>
  <c r="Q5" i="1"/>
  <c r="K28" i="1"/>
  <c r="P5" i="1"/>
  <c r="O5" i="1"/>
  <c r="S6" i="1"/>
  <c r="T6" i="1"/>
  <c r="R6" i="1"/>
  <c r="P6" i="1"/>
  <c r="Q6" i="1"/>
  <c r="O6" i="1"/>
  <c r="S4" i="1"/>
  <c r="T4" i="1" s="1"/>
  <c r="R4" i="1"/>
  <c r="Q4" i="1"/>
  <c r="P4" i="1"/>
  <c r="J27" i="1"/>
  <c r="I27" i="1"/>
  <c r="H15" i="4" l="1"/>
  <c r="F15" i="4"/>
  <c r="D15" i="4"/>
</calcChain>
</file>

<file path=xl/sharedStrings.xml><?xml version="1.0" encoding="utf-8"?>
<sst xmlns="http://schemas.openxmlformats.org/spreadsheetml/2006/main" count="228" uniqueCount="206">
  <si>
    <t>the financial statemen of the two entities as at 30 april 2022 are shown below</t>
  </si>
  <si>
    <t>statement of profit or loss the year ended 30 april 2022</t>
  </si>
  <si>
    <t>Able limited</t>
  </si>
  <si>
    <t>Ceda limited</t>
  </si>
  <si>
    <t>sh."000"</t>
  </si>
  <si>
    <t>revenue</t>
  </si>
  <si>
    <t>cost of sales</t>
  </si>
  <si>
    <t>gross profit</t>
  </si>
  <si>
    <t>distribution costs</t>
  </si>
  <si>
    <t>administrative exepenses</t>
  </si>
  <si>
    <t>operating profit</t>
  </si>
  <si>
    <t>finance costs</t>
  </si>
  <si>
    <t>profit before tax</t>
  </si>
  <si>
    <t>income tax expense</t>
  </si>
  <si>
    <t>profit for the year</t>
  </si>
  <si>
    <t>statement of financial position as at 30 april 2022</t>
  </si>
  <si>
    <t>Assets</t>
  </si>
  <si>
    <t>Non-current assets:</t>
  </si>
  <si>
    <t xml:space="preserve">property </t>
  </si>
  <si>
    <t>owned plant</t>
  </si>
  <si>
    <t>right -of-use asset</t>
  </si>
  <si>
    <t>_</t>
  </si>
  <si>
    <t>Current assets:</t>
  </si>
  <si>
    <t xml:space="preserve">inventory </t>
  </si>
  <si>
    <t>trade receivables</t>
  </si>
  <si>
    <t>bank</t>
  </si>
  <si>
    <t>total assests</t>
  </si>
  <si>
    <t>Equity and Liabilities:</t>
  </si>
  <si>
    <t>Equity:</t>
  </si>
  <si>
    <t>ordinary share capital (sh.10 per value)</t>
  </si>
  <si>
    <t>revaluation surplus</t>
  </si>
  <si>
    <t>retained earnings</t>
  </si>
  <si>
    <t>total equity</t>
  </si>
  <si>
    <t>Non-current liabilities:</t>
  </si>
  <si>
    <t>lease liability</t>
  </si>
  <si>
    <t>10% loan notes</t>
  </si>
  <si>
    <t>current liabilities:</t>
  </si>
  <si>
    <t xml:space="preserve">trade payables </t>
  </si>
  <si>
    <t>current tax</t>
  </si>
  <si>
    <t>total equity and libailities</t>
  </si>
  <si>
    <t>Required:</t>
  </si>
  <si>
    <t>i) common size statement of profit or loss for the two entities for the year ended 30 april 2022</t>
  </si>
  <si>
    <t>ii)common size statement offinancial position as at 30 april 2022</t>
  </si>
  <si>
    <t>iii) advice the directors pf dragon limited on the best company for take over</t>
  </si>
  <si>
    <t>The following draft consolidated financial statement were extracted from the financial record of G Group for the year</t>
  </si>
  <si>
    <t>ended 30 September 2022</t>
  </si>
  <si>
    <t>G Group</t>
  </si>
  <si>
    <t>Sh."million"</t>
  </si>
  <si>
    <t>Revenue</t>
  </si>
  <si>
    <t>Cost of ales</t>
  </si>
  <si>
    <t>Gross Profit</t>
  </si>
  <si>
    <t>Distribution Cost</t>
  </si>
  <si>
    <t>Administration expenses</t>
  </si>
  <si>
    <t>Profit from operations</t>
  </si>
  <si>
    <t>Fair value gain on short term investments</t>
  </si>
  <si>
    <t>Finance Cost</t>
  </si>
  <si>
    <t>Profit before tax</t>
  </si>
  <si>
    <t>Income tax expense</t>
  </si>
  <si>
    <t>Profit for the year</t>
  </si>
  <si>
    <t>Attribute to the group owners</t>
  </si>
  <si>
    <t>Attributable to the non-controlling intrests</t>
  </si>
  <si>
    <t>Consolidated statement of financial position as at 30 September</t>
  </si>
  <si>
    <t>2022 Sh."million"</t>
  </si>
  <si>
    <t>2021 Sh."million"</t>
  </si>
  <si>
    <t>Assets:</t>
  </si>
  <si>
    <t>Current Assets:</t>
  </si>
  <si>
    <t>Inventory</t>
  </si>
  <si>
    <t>Trate receivable</t>
  </si>
  <si>
    <t>Investment at fair value through profit or loss</t>
  </si>
  <si>
    <t>Cash at bank</t>
  </si>
  <si>
    <t>Total assets</t>
  </si>
  <si>
    <t>Equity and liablilities:</t>
  </si>
  <si>
    <t>Ordinary share capitn (Sh.10 per Value )</t>
  </si>
  <si>
    <t>Share Premium</t>
  </si>
  <si>
    <t>Equity attributable to group owners</t>
  </si>
  <si>
    <t>Non-Controlling interest</t>
  </si>
  <si>
    <t>Total equity</t>
  </si>
  <si>
    <t>Non-Current liabilities:</t>
  </si>
  <si>
    <t>Deferred consideration</t>
  </si>
  <si>
    <t>Bank Loans</t>
  </si>
  <si>
    <t>Defferred tax</t>
  </si>
  <si>
    <t>Current liabilities:</t>
  </si>
  <si>
    <t>Trade payables</t>
  </si>
  <si>
    <t>Current Tax</t>
  </si>
  <si>
    <t>Total equity and liablilities</t>
  </si>
  <si>
    <t>Additional information:</t>
  </si>
  <si>
    <t>1. The property, plant and equipment comprised the following:</t>
  </si>
  <si>
    <t>30 September2022 Sh "million"</t>
  </si>
  <si>
    <t>30 September2021 Sh "million"</t>
  </si>
  <si>
    <t>Cost</t>
  </si>
  <si>
    <t>Provision for depreciation</t>
  </si>
  <si>
    <t>Carrying Amount</t>
  </si>
  <si>
    <t xml:space="preserve">During the year ended 30 September 2022, G Limited disposed of an item of equipment for Cash proceeds of Sh.260 million. </t>
  </si>
  <si>
    <t>The equipment had cost Sh. 750 million and had an accumulated depreciation of Sh. 370 million. Any gain/loss on disposal</t>
  </si>
  <si>
    <t>and depreciation on property, plant and equipment is included in cost sales.</t>
  </si>
  <si>
    <t>The market value of ordinary shares at 1 january 2022 were Sh.30 and Sh.20 for G Limited and S Limited respectively . The fair value of values of assets and liabilities of S Limited at the date of acqusition</t>
  </si>
  <si>
    <t>were as follows:</t>
  </si>
  <si>
    <t>Sh."Million"</t>
  </si>
  <si>
    <t>Property, plant and equipment-Cost</t>
  </si>
  <si>
    <t xml:space="preserve"> </t>
  </si>
  <si>
    <t>Trade receivable</t>
  </si>
  <si>
    <t>Current tax ( refundable)</t>
  </si>
  <si>
    <t>Deferred tax asset</t>
  </si>
  <si>
    <t xml:space="preserve">3. The group policy is to measure the non-controlling interest in subsidiaries at fair value at acquisition dates. The market values </t>
  </si>
  <si>
    <t>of subsidiaries' ordinary share are considered to be representative of the fair value of shares held by non- controlling interests.</t>
  </si>
  <si>
    <t>4. Investments at fair value through profit or loss consist of highly marketable and risk-free securities held by G Limited.</t>
  </si>
  <si>
    <t>Required</t>
  </si>
  <si>
    <t>Consolidate statement of cash flow for G Group for the year ended 30 September 2022 using the indirect method in line with international</t>
  </si>
  <si>
    <t>Accounting standard(IAS)7"Statement of Cash Flows"</t>
  </si>
  <si>
    <t xml:space="preserve">Property, plant and equipment </t>
  </si>
  <si>
    <t>goodwill</t>
  </si>
  <si>
    <t>WHOLESALE PRICE</t>
  </si>
  <si>
    <t>RETAIL PRICE</t>
  </si>
  <si>
    <t>EXPORT PRICE</t>
  </si>
  <si>
    <t>The expected number of bags of maize to sell at three price levels for each of the above states of harvest is as shown below</t>
  </si>
  <si>
    <t>DECISION ALTERNATIVES</t>
  </si>
  <si>
    <t>CONDITIONS</t>
  </si>
  <si>
    <t>NUMBER OF BAGS</t>
  </si>
  <si>
    <t>HIGH HAVEST</t>
  </si>
  <si>
    <t>MEDIUM HAVEST</t>
  </si>
  <si>
    <t>LOW HAVEST</t>
  </si>
  <si>
    <t>SELLING PRICE (SH)</t>
  </si>
  <si>
    <t>YEARS</t>
  </si>
  <si>
    <t>SALES</t>
  </si>
  <si>
    <t>GROWTH RATE</t>
  </si>
  <si>
    <t>OPERATING EXPENSES</t>
  </si>
  <si>
    <t>VARIABLE OPERATING EXPENSES</t>
  </si>
  <si>
    <t>DEPRECIATION</t>
  </si>
  <si>
    <t>FIXED CAPIAL</t>
  </si>
  <si>
    <t>EBT</t>
  </si>
  <si>
    <t>TAX</t>
  </si>
  <si>
    <t>EAT</t>
  </si>
  <si>
    <t>CASHFLOW</t>
  </si>
  <si>
    <t>CAPIATAL</t>
  </si>
  <si>
    <t>WORKING CAPITAL</t>
  </si>
  <si>
    <t>CHANGE IN WORKING CAPITAL</t>
  </si>
  <si>
    <t>TERMINAL VALUE</t>
  </si>
  <si>
    <t>TAX ON DISPOSAL</t>
  </si>
  <si>
    <t>NPV</t>
  </si>
  <si>
    <t>WACC</t>
  </si>
  <si>
    <t>THE PROJECT IS SUITABLE BECAUSE IT HAS A POSITIVE NPV</t>
  </si>
  <si>
    <t>Number of units sold (“000”)</t>
  </si>
  <si>
    <t>Budget</t>
  </si>
  <si>
    <t>Actual</t>
  </si>
  <si>
    <t>Variance</t>
  </si>
  <si>
    <t>Sales</t>
  </si>
  <si>
    <t>Cost of sales:</t>
  </si>
  <si>
    <t>Fixed labour cost</t>
  </si>
  <si>
    <t>Selling and distribution costs:</t>
  </si>
  <si>
    <t>Net profit margin</t>
  </si>
  <si>
    <t>Trans Ltd. has provided the following operating statement, which represents an attempt to compare the actual performance for the quarter which has just ended with the budget:</t>
  </si>
  <si>
    <t>Sh.“000”</t>
  </si>
  <si>
    <t>Direct materials</t>
  </si>
  <si>
    <t>Direct labour</t>
  </si>
  <si>
    <t>Overheads</t>
  </si>
  <si>
    <t>Fixed</t>
  </si>
  <si>
    <t>Variable</t>
  </si>
  <si>
    <t>Administrative costs:</t>
  </si>
  <si>
    <t>Variables</t>
  </si>
  <si>
    <t>(i) Using flexible budgeting approach, redraft the operating statements so as to provide a more realistic indication of the variances. (8 marks)</t>
  </si>
  <si>
    <t>(ii) Discuss TWO problems associated with the forecasting of figures which are to be used in flexible budgeting. (4 marks)</t>
  </si>
  <si>
    <t>flexing factor</t>
  </si>
  <si>
    <t>G Limited was also to pay Sh. 810 million to owners of S limited on 1 January 2023. G Limited's Cost of capital is 8% per annum.</t>
  </si>
  <si>
    <t>The acquisition consideration comprised a share exchange on the basis of two (2) shares in G Limited for every three (3) acquired shares in S Limited.</t>
  </si>
  <si>
    <t xml:space="preserve">2. On 1 January 2022, G limited acquired 75% of the 100 million ordinary shares of Sh. 10 each in S limited. </t>
  </si>
  <si>
    <t>Consolidated statement of profit or loss for the year ended 30 September 2022:</t>
  </si>
  <si>
    <t>5. Any impairement loss on goodwill is included in admistration expenses.</t>
  </si>
  <si>
    <t>G LTD</t>
  </si>
  <si>
    <t>CONSOLIDATED STATEMENT OF CASHFLOWS FOR THE YEAR</t>
  </si>
  <si>
    <t>ENDED 30 SEPT 2022</t>
  </si>
  <si>
    <t>OPERATING ACTIVITIES</t>
  </si>
  <si>
    <t>SH MILLION</t>
  </si>
  <si>
    <t>WORKINGS</t>
  </si>
  <si>
    <t>GAIN/LOSS ON DISPOSAL</t>
  </si>
  <si>
    <t>PROCEEDS</t>
  </si>
  <si>
    <t>NBV</t>
  </si>
  <si>
    <t>LOSS</t>
  </si>
  <si>
    <t>loss on disposal of plant</t>
  </si>
  <si>
    <t>depreciation of PPE</t>
  </si>
  <si>
    <t>GOODWILL ON S LTD</t>
  </si>
  <si>
    <t>SHARE EXCHARE</t>
  </si>
  <si>
    <t>DEFFERED PAYMENT</t>
  </si>
  <si>
    <t>DEFFRED PMT</t>
  </si>
  <si>
    <t>RATE</t>
  </si>
  <si>
    <t>TIME</t>
  </si>
  <si>
    <t>fair value NCI</t>
  </si>
  <si>
    <t>LESS NET ASSETS ACQUIRED</t>
  </si>
  <si>
    <t>GOODWILL</t>
  </si>
  <si>
    <t>Goodwill impaired</t>
  </si>
  <si>
    <t>cashflow before working capital</t>
  </si>
  <si>
    <t>working capital</t>
  </si>
  <si>
    <t>cashflow before tax</t>
  </si>
  <si>
    <t>tax paid</t>
  </si>
  <si>
    <t>cashflow from operating activities</t>
  </si>
  <si>
    <t>investing activities</t>
  </si>
  <si>
    <t>disposal proceeds on plant</t>
  </si>
  <si>
    <t>acquisition of PPE</t>
  </si>
  <si>
    <t>CASHFLOW FROM INVESTING ACTIVITIES</t>
  </si>
  <si>
    <t>Financing activities</t>
  </si>
  <si>
    <t>dividend paid</t>
  </si>
  <si>
    <t>holding company</t>
  </si>
  <si>
    <t>NCI</t>
  </si>
  <si>
    <t>CASHFLOW FROM FINANCING ACTIVITIES</t>
  </si>
  <si>
    <t>CASHFLOW FOR THE YEAR</t>
  </si>
  <si>
    <t>OPENING CASH AND CASH EQUIVALENT</t>
  </si>
  <si>
    <t>CLOSING CASH AND CASH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</si>
</sst>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6"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sz val="11"/>
      <color theme="1"/>
      <name val="Times New Roman"/>
      <family val="1"/>
    </font>
    <font>
      <u/>
      <sz val="12"/>
      <color theme="1"/>
      <name val="Times New Roman"/>
      <family val="1"/>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32">
    <xf numFmtId="0" fontId="0" fillId="0" borderId="0" xfId="0"/>
    <xf numFmtId="0" fontId="1" fillId="0" borderId="0" xfId="0" applyFont="1"/>
    <xf numFmtId="0" fontId="1" fillId="0" borderId="1" xfId="0" applyFont="1" applyBorder="1"/>
    <xf numFmtId="0" fontId="2" fillId="0" borderId="0" xfId="0" applyFont="1"/>
    <xf numFmtId="0" fontId="1" fillId="0" borderId="2" xfId="0" applyFont="1" applyBorder="1"/>
    <xf numFmtId="0" fontId="1" fillId="0" borderId="3" xfId="0" applyFont="1" applyBorder="1"/>
    <xf numFmtId="0" fontId="4" fillId="0" borderId="0" xfId="0" applyFont="1"/>
    <xf numFmtId="164" fontId="1" fillId="0" borderId="0" xfId="1" applyNumberFormat="1" applyFont="1"/>
    <xf numFmtId="9" fontId="0" fillId="0" borderId="0" xfId="2" applyFont="1"/>
    <xf numFmtId="165" fontId="1" fillId="0" borderId="0" xfId="0" applyNumberFormat="1" applyFont="1"/>
    <xf numFmtId="165" fontId="1" fillId="0" borderId="0" xfId="1" applyNumberFormat="1" applyFont="1"/>
    <xf numFmtId="165" fontId="1" fillId="0" borderId="1" xfId="1" applyNumberFormat="1" applyFont="1" applyBorder="1"/>
    <xf numFmtId="164" fontId="2" fillId="0" borderId="2" xfId="1" applyNumberFormat="1" applyFont="1" applyBorder="1"/>
    <xf numFmtId="165" fontId="2" fillId="0" borderId="2" xfId="1" applyNumberFormat="1" applyFont="1" applyBorder="1"/>
    <xf numFmtId="165" fontId="2" fillId="0" borderId="0" xfId="1" applyNumberFormat="1" applyFont="1"/>
    <xf numFmtId="0" fontId="1" fillId="0" borderId="0" xfId="0" applyFont="1" applyAlignment="1"/>
    <xf numFmtId="164" fontId="2" fillId="0" borderId="0" xfId="1" applyNumberFormat="1" applyFont="1"/>
    <xf numFmtId="3" fontId="0" fillId="0" borderId="0" xfId="0" applyNumberFormat="1"/>
    <xf numFmtId="3" fontId="1" fillId="0" borderId="0" xfId="0" applyNumberFormat="1" applyFont="1"/>
    <xf numFmtId="0" fontId="5" fillId="0" borderId="0" xfId="0" applyFont="1"/>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center"/>
    </xf>
    <xf numFmtId="0" fontId="2" fillId="0" borderId="4" xfId="0" applyFont="1" applyBorder="1" applyAlignment="1">
      <alignment horizontal="center"/>
    </xf>
    <xf numFmtId="165" fontId="0" fillId="0" borderId="0" xfId="0" applyNumberFormat="1"/>
    <xf numFmtId="9" fontId="1" fillId="0" borderId="0" xfId="2" applyFont="1"/>
    <xf numFmtId="0" fontId="1" fillId="0" borderId="0" xfId="0" applyNumberFormat="1" applyFont="1"/>
    <xf numFmtId="0" fontId="2" fillId="0" borderId="1" xfId="0" applyFont="1" applyBorder="1"/>
    <xf numFmtId="165" fontId="2" fillId="0" borderId="1" xfId="0" applyNumberFormat="1" applyFont="1" applyBorder="1"/>
    <xf numFmtId="165" fontId="2" fillId="0" borderId="0" xfId="0" applyNumberFormat="1" applyFont="1"/>
    <xf numFmtId="165" fontId="2" fillId="0" borderId="2" xfId="0" applyNumberFormat="1" applyFont="1" applyBorder="1"/>
    <xf numFmtId="0" fontId="2" fillId="0" borderId="4"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104775</xdr:rowOff>
    </xdr:from>
    <xdr:to>
      <xdr:col>10</xdr:col>
      <xdr:colOff>371475</xdr:colOff>
      <xdr:row>25</xdr:row>
      <xdr:rowOff>19050</xdr:rowOff>
    </xdr:to>
    <xdr:sp macro="" textlink="">
      <xdr:nvSpPr>
        <xdr:cNvPr id="2" name="TextBox 1"/>
        <xdr:cNvSpPr txBox="1"/>
      </xdr:nvSpPr>
      <xdr:spPr>
        <a:xfrm>
          <a:off x="104774" y="104775"/>
          <a:ext cx="6362701" cy="491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i="0" u="none" strike="noStrike" baseline="0" smtClean="0">
            <a:solidFill>
              <a:schemeClr val="dk1"/>
            </a:solidFill>
            <a:latin typeface="+mn-lt"/>
            <a:ea typeface="+mn-ea"/>
            <a:cs typeface="+mn-cs"/>
          </a:endParaRP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Jawabu Ltd. is evaluating a project with an expected useful life of 6 years and the following characteristics: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1. Fixed capital investment of Sh.4,000,000.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2. The initial investment in net worth working capital is Sh.400,000.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At the end of each year, net working capital must be increased so that the cumulative investment in net working capital is one-sixth of the next year projected sales.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3. The fixed capital is depreciated on cost at the following rates: 30% in year 1, 35% in year 2, 20% in year 3, 10% in year 4, 5% in year 5 and 0% in year 6. </a:t>
          </a:r>
        </a:p>
        <a:p>
          <a:endPar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4. Sales are Sh.2,400,000 in year 1, they grow at 25% annual rate for the next two years and then grow at 10% annual rate for the last three years.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5. Fixed cash operating expenses are Sh.300,000 for year 1-3 and Sh.260,000 for year 4-6.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6. Variable cash operating expenses are 40% of sales in year 1, 39% of sales in year 2 and 38% of sales in year 3 - 6.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7. The corporate tax rate is 30%. If taxable income on the project is negative in any year, the loss will offset gains elsewhere in the corporation, resulting in a tax savings.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8. Fixed capital investment will be sold for Sh.300,000 when the project is complete and recapture its cumulative investment in networking capital. Income taxes will be paid on any gains on disposal.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9. The project required rate of return is 12%. </a:t>
          </a:r>
        </a:p>
        <a:p>
          <a:r>
            <a:rPr lang="en-US" sz="1200" b="1" i="0" u="none" strike="noStrike" baseline="0" smtClean="0">
              <a:solidFill>
                <a:schemeClr val="dk1"/>
              </a:solidFill>
              <a:latin typeface="Times New Roman" panose="02020603050405020304" pitchFamily="18" charset="0"/>
              <a:ea typeface="+mn-ea"/>
              <a:cs typeface="Times New Roman" panose="02020603050405020304" pitchFamily="18" charset="0"/>
            </a:rPr>
            <a:t>Required: </a:t>
          </a:r>
          <a:endPar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Determine the suitability of the project using the Net Present Value (NPV) method. (10 marks) </a:t>
          </a:r>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53</xdr:row>
      <xdr:rowOff>104775</xdr:rowOff>
    </xdr:from>
    <xdr:to>
      <xdr:col>9</xdr:col>
      <xdr:colOff>409575</xdr:colOff>
      <xdr:row>93</xdr:row>
      <xdr:rowOff>152400</xdr:rowOff>
    </xdr:to>
    <xdr:sp macro="" textlink="">
      <xdr:nvSpPr>
        <xdr:cNvPr id="2" name="TextBox 1"/>
        <xdr:cNvSpPr txBox="1"/>
      </xdr:nvSpPr>
      <xdr:spPr>
        <a:xfrm>
          <a:off x="752475" y="10706100"/>
          <a:ext cx="7248525" cy="766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Times New Roman" panose="02020603050405020304" pitchFamily="18" charset="0"/>
              <a:ea typeface="+mn-ea"/>
              <a:cs typeface="Times New Roman" panose="02020603050405020304" pitchFamily="18" charset="0"/>
            </a:rPr>
            <a:t>What is a Common Size Financial Statement?</a:t>
          </a:r>
        </a:p>
        <a:p>
          <a:r>
            <a:rPr lang="en-US" sz="1100" b="0" i="0">
              <a:solidFill>
                <a:schemeClr val="dk1"/>
              </a:solidFill>
              <a:effectLst/>
              <a:latin typeface="Times New Roman" panose="02020603050405020304" pitchFamily="18" charset="0"/>
              <a:ea typeface="+mn-ea"/>
              <a:cs typeface="Times New Roman" panose="02020603050405020304" pitchFamily="18" charset="0"/>
            </a:rPr>
            <a:t>A common size financial statement is a financial statement or balance sheet that presents itself as a percentage of the base number of sales or assets. The process of creating a common size financial statement is known as </a:t>
          </a:r>
          <a:r>
            <a:rPr lang="en-US" sz="1100" b="1" i="0">
              <a:solidFill>
                <a:schemeClr val="dk1"/>
              </a:solidFill>
              <a:effectLst/>
              <a:latin typeface="Times New Roman" panose="02020603050405020304" pitchFamily="18" charset="0"/>
              <a:ea typeface="+mn-ea"/>
              <a:cs typeface="Times New Roman" panose="02020603050405020304" pitchFamily="18" charset="0"/>
            </a:rPr>
            <a:t>common-size analysis</a:t>
          </a:r>
          <a:r>
            <a:rPr lang="en-US" sz="1100" b="0" i="0">
              <a:solidFill>
                <a:schemeClr val="dk1"/>
              </a:solidFill>
              <a:effectLst/>
              <a:latin typeface="Times New Roman" panose="02020603050405020304" pitchFamily="18" charset="0"/>
              <a:ea typeface="+mn-ea"/>
              <a:cs typeface="Times New Roman" panose="02020603050405020304" pitchFamily="18" charset="0"/>
            </a:rPr>
            <a:t> or </a:t>
          </a:r>
          <a:r>
            <a:rPr lang="en-US" sz="1100" b="0" i="0" u="sng">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vertical analysis</a:t>
          </a:r>
          <a:r>
            <a:rPr lang="en-US" sz="1100" b="0" i="0">
              <a:solidFill>
                <a:schemeClr val="dk1"/>
              </a:solidFill>
              <a:effectLst/>
              <a:latin typeface="Times New Roman" panose="02020603050405020304" pitchFamily="18" charset="0"/>
              <a:ea typeface="+mn-ea"/>
              <a:cs typeface="Times New Roman" panose="02020603050405020304" pitchFamily="18" charset="0"/>
            </a:rPr>
            <a:t>.</a:t>
          </a:r>
        </a:p>
        <a:p>
          <a:r>
            <a:rPr lang="en-US" sz="1100" b="0" i="0">
              <a:solidFill>
                <a:schemeClr val="dk1"/>
              </a:solidFill>
              <a:effectLst/>
              <a:latin typeface="Times New Roman" panose="02020603050405020304" pitchFamily="18" charset="0"/>
              <a:ea typeface="+mn-ea"/>
              <a:cs typeface="Times New Roman" panose="02020603050405020304" pitchFamily="18" charset="0"/>
            </a:rPr>
            <a:t>The financial statement reports owner equity, assets, and liabilities as percentages of the total assets. A financial statement like this gives the analysts an easier time when analyzing the profits of a company at different periods.</a:t>
          </a:r>
        </a:p>
        <a:p>
          <a:r>
            <a:rPr lang="en-US" sz="1100" b="1" i="0">
              <a:solidFill>
                <a:schemeClr val="dk1"/>
              </a:solidFill>
              <a:effectLst/>
              <a:latin typeface="Times New Roman" panose="02020603050405020304" pitchFamily="18" charset="0"/>
              <a:ea typeface="+mn-ea"/>
              <a:cs typeface="Times New Roman" panose="02020603050405020304" pitchFamily="18" charset="0"/>
            </a:rPr>
            <a:t>How is a Common Size Financial Statement Used?</a:t>
          </a:r>
        </a:p>
        <a:p>
          <a:r>
            <a:rPr lang="en-US" sz="1100" b="0" i="0">
              <a:solidFill>
                <a:schemeClr val="dk1"/>
              </a:solidFill>
              <a:effectLst/>
              <a:latin typeface="Times New Roman" panose="02020603050405020304" pitchFamily="18" charset="0"/>
              <a:ea typeface="+mn-ea"/>
              <a:cs typeface="Times New Roman" panose="02020603050405020304" pitchFamily="18" charset="0"/>
            </a:rPr>
            <a:t>Note that most companies do not use the common size format to report their financial statements. Comparing two different companies in different economic sectors can be easier when using common size financial statements. Using percentages allows one to see changes in values over time. Managers can also use the data to come up with new operations strategies. Balance sheets, income statements, and cash flow statements are examples of common size financial statements.</a:t>
          </a:r>
        </a:p>
        <a:p>
          <a:r>
            <a:rPr lang="en-US" sz="1100" b="1" i="0">
              <a:solidFill>
                <a:schemeClr val="dk1"/>
              </a:solidFill>
              <a:effectLst/>
              <a:latin typeface="Times New Roman" panose="02020603050405020304" pitchFamily="18" charset="0"/>
              <a:ea typeface="+mn-ea"/>
              <a:cs typeface="Times New Roman" panose="02020603050405020304" pitchFamily="18" charset="0"/>
            </a:rPr>
            <a:t>Types of common size financial statements</a:t>
          </a:r>
        </a:p>
        <a:p>
          <a:r>
            <a:rPr lang="en-US" sz="1100" b="0" i="0">
              <a:solidFill>
                <a:schemeClr val="dk1"/>
              </a:solidFill>
              <a:effectLst/>
              <a:latin typeface="Times New Roman" panose="02020603050405020304" pitchFamily="18" charset="0"/>
              <a:ea typeface="+mn-ea"/>
              <a:cs typeface="Times New Roman" panose="02020603050405020304" pitchFamily="18" charset="0"/>
            </a:rPr>
            <a:t>Common size financial statements are of various types, and each type makes use of different financial figures for standardization. The following are the types of common size statements:</a:t>
          </a:r>
        </a:p>
        <a:p>
          <a:r>
            <a:rPr lang="en-US" sz="1100" b="1" i="0">
              <a:solidFill>
                <a:schemeClr val="dk1"/>
              </a:solidFill>
              <a:effectLst/>
              <a:latin typeface="Times New Roman" panose="02020603050405020304" pitchFamily="18" charset="0"/>
              <a:ea typeface="+mn-ea"/>
              <a:cs typeface="Times New Roman" panose="02020603050405020304" pitchFamily="18" charset="0"/>
            </a:rPr>
            <a:t>1. Common size balance sheet</a:t>
          </a:r>
        </a:p>
        <a:p>
          <a:r>
            <a:rPr lang="en-US" sz="1100" b="0" i="0">
              <a:solidFill>
                <a:schemeClr val="dk1"/>
              </a:solidFill>
              <a:effectLst/>
              <a:latin typeface="Times New Roman" panose="02020603050405020304" pitchFamily="18" charset="0"/>
              <a:ea typeface="+mn-ea"/>
              <a:cs typeface="Times New Roman" panose="02020603050405020304" pitchFamily="18" charset="0"/>
            </a:rPr>
            <a:t>A balance sheet gives a summary of the equity fund, liabilities, and assets of a company over time. The period can be quarterly or annually. In a balance sheet; assets = liabilities + stockholders' equity In a common size balance sheet, the items present themselves as percentages of their base numbers. The assets are a percentage of the total assets. The same applies to liabilities and equity funds.</a:t>
          </a:r>
        </a:p>
        <a:p>
          <a:r>
            <a:rPr lang="en-US" sz="1100" b="1" i="0">
              <a:solidFill>
                <a:schemeClr val="dk1"/>
              </a:solidFill>
              <a:effectLst/>
              <a:latin typeface="Times New Roman" panose="02020603050405020304" pitchFamily="18" charset="0"/>
              <a:ea typeface="+mn-ea"/>
              <a:cs typeface="Times New Roman" panose="02020603050405020304" pitchFamily="18" charset="0"/>
            </a:rPr>
            <a:t>2.</a:t>
          </a:r>
          <a:r>
            <a:rPr lang="en-US" sz="1100" b="1" i="0" baseline="0">
              <a:solidFill>
                <a:schemeClr val="dk1"/>
              </a:solidFill>
              <a:effectLst/>
              <a:latin typeface="Times New Roman" panose="02020603050405020304" pitchFamily="18" charset="0"/>
              <a:ea typeface="+mn-ea"/>
              <a:cs typeface="Times New Roman" panose="02020603050405020304" pitchFamily="18" charset="0"/>
            </a:rPr>
            <a:t> </a:t>
          </a:r>
          <a:r>
            <a:rPr lang="en-US" sz="1100" b="1" i="0">
              <a:solidFill>
                <a:schemeClr val="dk1"/>
              </a:solidFill>
              <a:effectLst/>
              <a:latin typeface="Times New Roman" panose="02020603050405020304" pitchFamily="18" charset="0"/>
              <a:ea typeface="+mn-ea"/>
              <a:cs typeface="Times New Roman" panose="02020603050405020304" pitchFamily="18" charset="0"/>
            </a:rPr>
            <a:t>Common size income statements</a:t>
          </a:r>
        </a:p>
        <a:p>
          <a:r>
            <a:rPr lang="en-US" sz="1100" b="0" i="0">
              <a:solidFill>
                <a:schemeClr val="dk1"/>
              </a:solidFill>
              <a:effectLst/>
              <a:latin typeface="Times New Roman" panose="02020603050405020304" pitchFamily="18" charset="0"/>
              <a:ea typeface="+mn-ea"/>
              <a:cs typeface="Times New Roman" panose="02020603050405020304" pitchFamily="18" charset="0"/>
            </a:rPr>
            <a:t>Most people refer to the income statement as a profit or loss statement. It provides an outline of expenses incurred, sales, and net income in a given financial reporting time. The income statement presents all items as a percentage of the total sales In an income statement; net income = sales expenses</a:t>
          </a:r>
        </a:p>
        <a:p>
          <a:r>
            <a:rPr lang="en-US" sz="1100" b="1" i="0">
              <a:solidFill>
                <a:schemeClr val="dk1"/>
              </a:solidFill>
              <a:effectLst/>
              <a:latin typeface="Times New Roman" panose="02020603050405020304" pitchFamily="18" charset="0"/>
              <a:ea typeface="+mn-ea"/>
              <a:cs typeface="Times New Roman" panose="02020603050405020304" pitchFamily="18" charset="0"/>
            </a:rPr>
            <a:t>3. Common size cash flow statements</a:t>
          </a:r>
        </a:p>
        <a:p>
          <a:r>
            <a:rPr lang="en-US" sz="1100" b="0" i="0">
              <a:solidFill>
                <a:schemeClr val="dk1"/>
              </a:solidFill>
              <a:effectLst/>
              <a:latin typeface="Times New Roman" panose="02020603050405020304" pitchFamily="18" charset="0"/>
              <a:ea typeface="+mn-ea"/>
              <a:cs typeface="Times New Roman" panose="02020603050405020304" pitchFamily="18" charset="0"/>
            </a:rPr>
            <a:t>A cash flow statement shows the way cash is moving in and out of the firm. It also provides information about the sources and usage of money. Cash flows from the firms investments, cash flows from daily operations, and flows from financing are the subdivisions of the cash flow statement.</a:t>
          </a:r>
        </a:p>
        <a:p>
          <a:r>
            <a:rPr lang="en-US" sz="1100" b="1" i="0">
              <a:solidFill>
                <a:schemeClr val="dk1"/>
              </a:solidFill>
              <a:effectLst/>
              <a:latin typeface="Times New Roman" panose="02020603050405020304" pitchFamily="18" charset="0"/>
              <a:ea typeface="+mn-ea"/>
              <a:cs typeface="Times New Roman" panose="02020603050405020304" pitchFamily="18" charset="0"/>
            </a:rPr>
            <a:t>Limitations of common size financial statements</a:t>
          </a:r>
        </a:p>
        <a:p>
          <a:r>
            <a:rPr lang="en-US" sz="1100" b="0" i="0">
              <a:solidFill>
                <a:schemeClr val="dk1"/>
              </a:solidFill>
              <a:effectLst/>
              <a:latin typeface="Times New Roman" panose="02020603050405020304" pitchFamily="18" charset="0"/>
              <a:ea typeface="+mn-ea"/>
              <a:cs typeface="Times New Roman" panose="02020603050405020304" pitchFamily="18" charset="0"/>
            </a:rPr>
            <a:t>In general, financial statements present various limitations due to different interpretations when constructing the data. The limitations include:</a:t>
          </a:r>
        </a:p>
        <a:p>
          <a:r>
            <a:rPr lang="en-US" sz="1100" b="0" i="0">
              <a:solidFill>
                <a:schemeClr val="dk1"/>
              </a:solidFill>
              <a:effectLst/>
              <a:latin typeface="Times New Roman" panose="02020603050405020304" pitchFamily="18" charset="0"/>
              <a:ea typeface="+mn-ea"/>
              <a:cs typeface="Times New Roman" panose="02020603050405020304" pitchFamily="18" charset="0"/>
            </a:rPr>
            <a:t>1. Companies using varying accounting policies when generating financial statements at different times. The same company could also be using different policies. The financial analysts need to adjust the data to ensure they are using the same policies to generate financial statements.</a:t>
          </a:r>
        </a:p>
        <a:p>
          <a:r>
            <a:rPr lang="en-US" sz="1100" b="0" i="0">
              <a:solidFill>
                <a:schemeClr val="dk1"/>
              </a:solidFill>
              <a:effectLst/>
              <a:latin typeface="Times New Roman" panose="02020603050405020304" pitchFamily="18" charset="0"/>
              <a:ea typeface="+mn-ea"/>
              <a:cs typeface="Times New Roman" panose="02020603050405020304" pitchFamily="18" charset="0"/>
            </a:rPr>
            <a:t>2. Difficulty when comparing accounting periods as the companies may be using dissimilar accounting calendars.</a:t>
          </a:r>
        </a:p>
        <a:p>
          <a:r>
            <a:rPr lang="en-US" sz="1100" b="0" i="0">
              <a:solidFill>
                <a:schemeClr val="dk1"/>
              </a:solidFill>
              <a:effectLst/>
              <a:latin typeface="Times New Roman" panose="02020603050405020304" pitchFamily="18" charset="0"/>
              <a:ea typeface="+mn-ea"/>
              <a:cs typeface="Times New Roman" panose="02020603050405020304" pitchFamily="18" charset="0"/>
            </a:rPr>
            <a:t>Inconsistencies in the preparation of financial statements make the common size aspect irrelevant when evaluating the performance of a firm.</a:t>
          </a:r>
        </a:p>
        <a:p>
          <a:r>
            <a:rPr lang="en-US" sz="1100" b="0" i="0">
              <a:solidFill>
                <a:schemeClr val="dk1"/>
              </a:solidFill>
              <a:effectLst/>
              <a:latin typeface="Times New Roman" panose="02020603050405020304" pitchFamily="18" charset="0"/>
              <a:ea typeface="+mn-ea"/>
              <a:cs typeface="Times New Roman" panose="02020603050405020304" pitchFamily="18" charset="0"/>
            </a:rPr>
            <a:t>3. Common size financial statements do not provide concrete information to its users when there are fluctuations in the different financial components.</a:t>
          </a:r>
        </a:p>
        <a:p>
          <a:r>
            <a:rPr lang="en-US" sz="1100" b="1" i="0">
              <a:solidFill>
                <a:schemeClr val="dk1"/>
              </a:solidFill>
              <a:effectLst/>
              <a:latin typeface="+mn-lt"/>
              <a:ea typeface="+mn-ea"/>
              <a:cs typeface="+mn-cs"/>
            </a:rPr>
            <a:t>Types of Common Size Analysis</a:t>
          </a:r>
        </a:p>
        <a:p>
          <a:r>
            <a:rPr lang="en-US" sz="1100" b="0" i="0">
              <a:solidFill>
                <a:schemeClr val="dk1"/>
              </a:solidFill>
              <a:effectLst/>
              <a:latin typeface="Times New Roman" panose="02020603050405020304" pitchFamily="18" charset="0"/>
              <a:ea typeface="+mn-ea"/>
              <a:cs typeface="Times New Roman" panose="02020603050405020304" pitchFamily="18" charset="0"/>
            </a:rPr>
            <a:t>Common size analysis can be conducted in two ways, i.e., </a:t>
          </a:r>
          <a:r>
            <a:rPr lang="en-US" sz="1100" b="1" i="0">
              <a:solidFill>
                <a:schemeClr val="dk1"/>
              </a:solidFill>
              <a:effectLst/>
              <a:latin typeface="Times New Roman" panose="02020603050405020304" pitchFamily="18" charset="0"/>
              <a:ea typeface="+mn-ea"/>
              <a:cs typeface="Times New Roman" panose="02020603050405020304" pitchFamily="18" charset="0"/>
            </a:rPr>
            <a:t>vertical analysis </a:t>
          </a:r>
          <a:r>
            <a:rPr lang="en-US" sz="1100" b="0" i="0">
              <a:solidFill>
                <a:schemeClr val="dk1"/>
              </a:solidFill>
              <a:effectLst/>
              <a:latin typeface="Times New Roman" panose="02020603050405020304" pitchFamily="18" charset="0"/>
              <a:ea typeface="+mn-ea"/>
              <a:cs typeface="Times New Roman" panose="02020603050405020304" pitchFamily="18" charset="0"/>
            </a:rPr>
            <a:t>and horizontal analysis. Vertical analysis refers to the analysis of specific line items in relation to a base item within the same financial period. For example, in the balance sheet, we can assess the proportion of </a:t>
          </a: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inventory</a:t>
          </a:r>
          <a:r>
            <a:rPr lang="en-US" sz="1100" b="0" i="0">
              <a:solidFill>
                <a:schemeClr val="dk1"/>
              </a:solidFill>
              <a:effectLst/>
              <a:latin typeface="Times New Roman" panose="02020603050405020304" pitchFamily="18" charset="0"/>
              <a:ea typeface="+mn-ea"/>
              <a:cs typeface="Times New Roman" panose="02020603050405020304" pitchFamily="18" charset="0"/>
            </a:rPr>
            <a:t> by dividing the inventory line using total assets as the base item.</a:t>
          </a:r>
        </a:p>
        <a:p>
          <a:r>
            <a:rPr lang="en-US" sz="1100" b="0" i="0">
              <a:solidFill>
                <a:schemeClr val="dk1"/>
              </a:solidFill>
              <a:effectLst/>
              <a:latin typeface="Times New Roman" panose="02020603050405020304" pitchFamily="18" charset="0"/>
              <a:ea typeface="+mn-ea"/>
              <a:cs typeface="Times New Roman" panose="02020603050405020304" pitchFamily="18" charset="0"/>
            </a:rPr>
            <a:t>On the other hand</a:t>
          </a:r>
          <a:r>
            <a:rPr lang="en-US" sz="1100" b="1" i="0">
              <a:solidFill>
                <a:schemeClr val="dk1"/>
              </a:solidFill>
              <a:effectLst/>
              <a:latin typeface="Times New Roman" panose="02020603050405020304" pitchFamily="18" charset="0"/>
              <a:ea typeface="+mn-ea"/>
              <a:cs typeface="Times New Roman" panose="02020603050405020304" pitchFamily="18" charset="0"/>
            </a:rPr>
            <a:t>, horizontal analysis </a:t>
          </a:r>
          <a:r>
            <a:rPr lang="en-US" sz="1100" b="0" i="0">
              <a:solidFill>
                <a:schemeClr val="dk1"/>
              </a:solidFill>
              <a:effectLst/>
              <a:latin typeface="Times New Roman" panose="02020603050405020304" pitchFamily="18" charset="0"/>
              <a:ea typeface="+mn-ea"/>
              <a:cs typeface="Times New Roman" panose="02020603050405020304" pitchFamily="18" charset="0"/>
            </a:rPr>
            <a:t>refers to the analysis of specific line items and comparing them to a similar line item in the previous or subsequent financial period. Although common size analysis is not as detailed as </a:t>
          </a: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trend analysis</a:t>
          </a:r>
          <a:r>
            <a:rPr lang="en-US" sz="1100" b="0" i="0">
              <a:solidFill>
                <a:schemeClr val="dk1"/>
              </a:solidFill>
              <a:effectLst/>
              <a:latin typeface="Times New Roman" panose="02020603050405020304" pitchFamily="18" charset="0"/>
              <a:ea typeface="+mn-ea"/>
              <a:cs typeface="Times New Roman" panose="02020603050405020304" pitchFamily="18" charset="0"/>
            </a:rPr>
            <a:t> using ratios, it does provide a simple way for financial managers to analyze financial statements.</a:t>
          </a:r>
        </a:p>
        <a:p>
          <a:endParaRPr lang="en-US" sz="1100" b="0" i="0">
            <a:solidFill>
              <a:schemeClr val="dk1"/>
            </a:solidFill>
            <a:effectLst/>
            <a:latin typeface="Times New Roman" panose="02020603050405020304" pitchFamily="18" charset="0"/>
            <a:ea typeface="+mn-ea"/>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142876</xdr:rowOff>
    </xdr:from>
    <xdr:to>
      <xdr:col>9</xdr:col>
      <xdr:colOff>133350</xdr:colOff>
      <xdr:row>7</xdr:row>
      <xdr:rowOff>123826</xdr:rowOff>
    </xdr:to>
    <xdr:sp macro="" textlink="">
      <xdr:nvSpPr>
        <xdr:cNvPr id="2" name="TextBox 1"/>
        <xdr:cNvSpPr txBox="1"/>
      </xdr:nvSpPr>
      <xdr:spPr>
        <a:xfrm>
          <a:off x="38100" y="142876"/>
          <a:ext cx="55816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i="0" u="none" strike="noStrike" baseline="0" smtClean="0">
            <a:solidFill>
              <a:schemeClr val="dk1"/>
            </a:solidFill>
            <a:latin typeface="+mn-lt"/>
            <a:ea typeface="+mn-ea"/>
            <a:cs typeface="+mn-cs"/>
          </a:endParaRP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Wangwana Growers Ltd., is a large-scale maize growing firm in Western region growing maize for both domestic and export market. Fred Juma, the Management Accountant, has established that there is a probability of getting a high, medium or low harvest. Fred Juma has to decide on the optimum selling price for one bag of maize and three prices are under consideration. </a:t>
          </a:r>
        </a:p>
        <a:p>
          <a:r>
            <a:rPr lang="en-US" sz="1200" b="0" i="0" u="none" strike="noStrike" baseline="0" smtClean="0">
              <a:solidFill>
                <a:schemeClr val="dk1"/>
              </a:solidFill>
              <a:latin typeface="Times New Roman" panose="02020603050405020304" pitchFamily="18" charset="0"/>
              <a:ea typeface="+mn-ea"/>
              <a:cs typeface="Times New Roman" panose="02020603050405020304" pitchFamily="18" charset="0"/>
            </a:rPr>
            <a:t>The selling price per bag of 90 kilograms for different types of customers is as follows</a:t>
          </a:r>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0</xdr:col>
      <xdr:colOff>85725</xdr:colOff>
      <xdr:row>20</xdr:row>
      <xdr:rowOff>114300</xdr:rowOff>
    </xdr:from>
    <xdr:to>
      <xdr:col>10</xdr:col>
      <xdr:colOff>19050</xdr:colOff>
      <xdr:row>34</xdr:row>
      <xdr:rowOff>9525</xdr:rowOff>
    </xdr:to>
    <xdr:sp macro="" textlink="">
      <xdr:nvSpPr>
        <xdr:cNvPr id="3" name="TextBox 2"/>
        <xdr:cNvSpPr txBox="1"/>
      </xdr:nvSpPr>
      <xdr:spPr>
        <a:xfrm>
          <a:off x="85725" y="4038600"/>
          <a:ext cx="6219825"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Times New Roman" panose="02020603050405020304" pitchFamily="18" charset="0"/>
              <a:ea typeface="+mn-ea"/>
              <a:cs typeface="Times New Roman" panose="02020603050405020304" pitchFamily="18" charset="0"/>
            </a:rPr>
            <a:t>Additional information: </a:t>
          </a:r>
          <a:endPar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1. From past experience, there is a 10% probability that the harvest will be low, a 30% probability that the harvest will be medium and a 60 % probability that the harvest will be high. </a:t>
          </a: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2. The estimated variable cost is Sh.3,000 per bag of 90 kilograms of maize. </a:t>
          </a: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3. The fixed cost at each selling price level is Sh.15 million. </a:t>
          </a: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4. Fred Juma can engage an agricultural expert to carry out a survey on the productivity of the land, which will cost him Sh.1 million. </a:t>
          </a:r>
        </a:p>
        <a:p>
          <a:endPar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100" b="1" i="0" u="none" strike="noStrike" baseline="0" smtClean="0">
              <a:solidFill>
                <a:schemeClr val="dk1"/>
              </a:solidFill>
              <a:latin typeface="Times New Roman" panose="02020603050405020304" pitchFamily="18" charset="0"/>
              <a:ea typeface="+mn-ea"/>
              <a:cs typeface="Times New Roman" panose="02020603050405020304" pitchFamily="18" charset="0"/>
            </a:rPr>
            <a:t>Required: </a:t>
          </a:r>
          <a:endPar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(i) A payoff matrix table showing the net profit. (8 marks) </a:t>
          </a:r>
        </a:p>
        <a:p>
          <a:endPar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(ii) The price to set to maximise the expected monetary value. (2 marks) </a:t>
          </a:r>
        </a:p>
        <a:p>
          <a:endPar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endParaRPr>
        </a:p>
        <a:p>
          <a:r>
            <a:rPr lang="en-US" sz="1100" b="0" i="0" u="none" strike="noStrike" baseline="0" smtClean="0">
              <a:solidFill>
                <a:schemeClr val="dk1"/>
              </a:solidFill>
              <a:latin typeface="Times New Roman" panose="02020603050405020304" pitchFamily="18" charset="0"/>
              <a:ea typeface="+mn-ea"/>
              <a:cs typeface="Times New Roman" panose="02020603050405020304" pitchFamily="18" charset="0"/>
            </a:rPr>
            <a:t>(iii) Advise Fred Juma whether it is worthwhile to acquire the perfect information from the agricultural expert. (4 marks)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V31"/>
  <sheetViews>
    <sheetView topLeftCell="D1" workbookViewId="0">
      <selection activeCell="N25" sqref="N25"/>
    </sheetView>
  </sheetViews>
  <sheetFormatPr defaultRowHeight="15" x14ac:dyDescent="0.25"/>
  <cols>
    <col min="13" max="13" width="17.42578125" customWidth="1"/>
    <col min="14" max="15" width="14.85546875" bestFit="1" customWidth="1"/>
    <col min="16" max="18" width="11.85546875" bestFit="1" customWidth="1"/>
    <col min="19" max="19" width="12.28515625" customWidth="1"/>
    <col min="20" max="20" width="13.28515625" customWidth="1"/>
    <col min="22" max="22" width="10.140625" bestFit="1" customWidth="1"/>
  </cols>
  <sheetData>
    <row r="2" spans="12:22" ht="15.75" x14ac:dyDescent="0.25">
      <c r="L2" t="s">
        <v>128</v>
      </c>
      <c r="M2" s="1"/>
      <c r="N2" s="1">
        <v>4000000</v>
      </c>
      <c r="O2" s="1"/>
      <c r="P2" s="1" t="s">
        <v>122</v>
      </c>
      <c r="Q2" s="1"/>
      <c r="R2" s="1"/>
      <c r="S2" s="1"/>
      <c r="T2" s="1"/>
      <c r="U2" s="1"/>
      <c r="V2" s="1"/>
    </row>
    <row r="3" spans="12:22" ht="15.75" x14ac:dyDescent="0.25">
      <c r="M3" s="1"/>
      <c r="N3" s="1"/>
      <c r="O3" s="9">
        <v>1</v>
      </c>
      <c r="P3" s="9">
        <v>2</v>
      </c>
      <c r="Q3" s="9">
        <v>3</v>
      </c>
      <c r="R3" s="9">
        <v>4</v>
      </c>
      <c r="S3" s="9">
        <v>5</v>
      </c>
      <c r="T3" s="9">
        <v>6</v>
      </c>
      <c r="U3" s="9"/>
      <c r="V3" s="1"/>
    </row>
    <row r="4" spans="12:22" ht="15.75" x14ac:dyDescent="0.25">
      <c r="M4" s="1"/>
      <c r="N4" s="1" t="s">
        <v>123</v>
      </c>
      <c r="O4" s="10">
        <v>2400000</v>
      </c>
      <c r="P4" s="10">
        <f>O4*(1+I27)</f>
        <v>3000000</v>
      </c>
      <c r="Q4" s="10">
        <f>P4*(1+I27)</f>
        <v>3750000</v>
      </c>
      <c r="R4" s="10">
        <f>Q$4*(1+$J$27)</f>
        <v>4125000.0000000005</v>
      </c>
      <c r="S4" s="10">
        <f t="shared" ref="S4:T4" si="0">R$4*(1+$J$27)</f>
        <v>4537500.0000000009</v>
      </c>
      <c r="T4" s="10">
        <f t="shared" si="0"/>
        <v>4991250.0000000019</v>
      </c>
      <c r="U4" s="10"/>
      <c r="V4" s="1"/>
    </row>
    <row r="5" spans="12:22" ht="15.75" x14ac:dyDescent="0.25">
      <c r="L5" s="20" t="s">
        <v>126</v>
      </c>
      <c r="M5" s="20"/>
      <c r="N5" s="20"/>
      <c r="O5" s="10">
        <f>-O4*0.4</f>
        <v>-960000</v>
      </c>
      <c r="P5" s="10">
        <f>-P4*0.39</f>
        <v>-1170000</v>
      </c>
      <c r="Q5" s="10">
        <f>-Q$4*$K$28</f>
        <v>-1462500</v>
      </c>
      <c r="R5" s="10">
        <f t="shared" ref="R5:T5" si="1">-R$4*$K$28</f>
        <v>-1608750.0000000002</v>
      </c>
      <c r="S5" s="10">
        <f t="shared" si="1"/>
        <v>-1769625.0000000005</v>
      </c>
      <c r="T5" s="10">
        <f t="shared" si="1"/>
        <v>-1946587.5000000007</v>
      </c>
      <c r="U5" s="10"/>
      <c r="V5" s="1"/>
    </row>
    <row r="6" spans="12:22" ht="15.75" x14ac:dyDescent="0.25">
      <c r="L6" s="20" t="s">
        <v>125</v>
      </c>
      <c r="M6" s="20"/>
      <c r="N6" s="20"/>
      <c r="O6" s="10">
        <f>-300000</f>
        <v>-300000</v>
      </c>
      <c r="P6" s="10">
        <f t="shared" ref="P6:Q6" si="2">-300000</f>
        <v>-300000</v>
      </c>
      <c r="Q6" s="10">
        <f t="shared" si="2"/>
        <v>-300000</v>
      </c>
      <c r="R6" s="10">
        <f>-260000</f>
        <v>-260000</v>
      </c>
      <c r="S6" s="10">
        <f t="shared" ref="S6:T6" si="3">-260000</f>
        <v>-260000</v>
      </c>
      <c r="T6" s="10">
        <f t="shared" si="3"/>
        <v>-260000</v>
      </c>
      <c r="U6" s="10"/>
      <c r="V6" s="1"/>
    </row>
    <row r="7" spans="12:22" ht="15.75" x14ac:dyDescent="0.25">
      <c r="M7" s="1" t="s">
        <v>127</v>
      </c>
      <c r="N7" s="1"/>
      <c r="O7" s="10">
        <f>-N2*0.3</f>
        <v>-1200000</v>
      </c>
      <c r="P7" s="10">
        <f>-N2*0.35</f>
        <v>-1400000</v>
      </c>
      <c r="Q7" s="10">
        <f>-N2*0.2</f>
        <v>-800000</v>
      </c>
      <c r="R7" s="10">
        <f>-N2*0.1</f>
        <v>-400000</v>
      </c>
      <c r="S7" s="10">
        <f>-N2*0.05</f>
        <v>-200000</v>
      </c>
      <c r="T7" s="10">
        <f>0</f>
        <v>0</v>
      </c>
      <c r="U7" s="10"/>
      <c r="V7" s="1"/>
    </row>
    <row r="8" spans="12:22" ht="15.75" x14ac:dyDescent="0.25">
      <c r="M8" s="1"/>
      <c r="N8" s="1" t="s">
        <v>129</v>
      </c>
      <c r="O8" s="11">
        <f>SUM(O4:O7)</f>
        <v>-60000</v>
      </c>
      <c r="P8" s="11">
        <f t="shared" ref="P8:T8" si="4">SUM(P4:P7)</f>
        <v>130000</v>
      </c>
      <c r="Q8" s="11">
        <f t="shared" si="4"/>
        <v>1187500</v>
      </c>
      <c r="R8" s="11">
        <f t="shared" si="4"/>
        <v>1856250</v>
      </c>
      <c r="S8" s="11">
        <f t="shared" si="4"/>
        <v>2307875.0000000005</v>
      </c>
      <c r="T8" s="11">
        <f t="shared" si="4"/>
        <v>2784662.5000000009</v>
      </c>
      <c r="U8" s="10"/>
      <c r="V8" s="1"/>
    </row>
    <row r="9" spans="12:22" ht="15.75" x14ac:dyDescent="0.25">
      <c r="M9" s="1"/>
      <c r="N9" s="1" t="s">
        <v>130</v>
      </c>
      <c r="O9" s="10">
        <v>0</v>
      </c>
      <c r="P9" s="10">
        <f>-P$8*$J$29</f>
        <v>-39000</v>
      </c>
      <c r="Q9" s="10">
        <f t="shared" ref="Q9:T9" si="5">-Q$8*$J$29</f>
        <v>-356250</v>
      </c>
      <c r="R9" s="10">
        <f t="shared" si="5"/>
        <v>-556875</v>
      </c>
      <c r="S9" s="10">
        <f t="shared" si="5"/>
        <v>-692362.50000000012</v>
      </c>
      <c r="T9" s="10">
        <f t="shared" si="5"/>
        <v>-835398.75000000023</v>
      </c>
      <c r="U9" s="10"/>
      <c r="V9" s="1"/>
    </row>
    <row r="10" spans="12:22" ht="15.75" x14ac:dyDescent="0.25">
      <c r="M10" s="1"/>
      <c r="N10" s="1" t="s">
        <v>131</v>
      </c>
      <c r="O10" s="11">
        <f>SUM(O8:O9)</f>
        <v>-60000</v>
      </c>
      <c r="P10" s="11">
        <f t="shared" ref="P10:T10" si="6">SUM(P8:P9)</f>
        <v>91000</v>
      </c>
      <c r="Q10" s="11">
        <f t="shared" si="6"/>
        <v>831250</v>
      </c>
      <c r="R10" s="11">
        <f t="shared" si="6"/>
        <v>1299375</v>
      </c>
      <c r="S10" s="11">
        <f t="shared" si="6"/>
        <v>1615512.5000000005</v>
      </c>
      <c r="T10" s="11">
        <f t="shared" si="6"/>
        <v>1949263.7500000007</v>
      </c>
      <c r="U10" s="10"/>
      <c r="V10" s="1"/>
    </row>
    <row r="11" spans="12:22" ht="15.75" x14ac:dyDescent="0.25">
      <c r="M11" s="1" t="str">
        <f>M7</f>
        <v>DEPRECIATION</v>
      </c>
      <c r="N11" s="1"/>
      <c r="O11" s="10">
        <f>-O7</f>
        <v>1200000</v>
      </c>
      <c r="P11" s="10">
        <f t="shared" ref="P11:T11" si="7">-P7</f>
        <v>1400000</v>
      </c>
      <c r="Q11" s="10">
        <f t="shared" si="7"/>
        <v>800000</v>
      </c>
      <c r="R11" s="10">
        <f t="shared" si="7"/>
        <v>400000</v>
      </c>
      <c r="S11" s="10">
        <f t="shared" si="7"/>
        <v>200000</v>
      </c>
      <c r="T11" s="10">
        <f t="shared" si="7"/>
        <v>0</v>
      </c>
      <c r="U11" s="10"/>
      <c r="V11" s="9">
        <f>SUM(O11:U11)</f>
        <v>4000000</v>
      </c>
    </row>
    <row r="12" spans="12:22" ht="15.75" x14ac:dyDescent="0.25">
      <c r="M12" s="1" t="s">
        <v>132</v>
      </c>
      <c r="N12" s="1"/>
      <c r="O12" s="11">
        <f>SUM(O10:O11)</f>
        <v>1140000</v>
      </c>
      <c r="P12" s="11">
        <f t="shared" ref="P12:T12" si="8">SUM(P10:P11)</f>
        <v>1491000</v>
      </c>
      <c r="Q12" s="11">
        <f t="shared" si="8"/>
        <v>1631250</v>
      </c>
      <c r="R12" s="11">
        <f t="shared" si="8"/>
        <v>1699375</v>
      </c>
      <c r="S12" s="11">
        <f t="shared" si="8"/>
        <v>1815512.5000000005</v>
      </c>
      <c r="T12" s="11">
        <f t="shared" si="8"/>
        <v>1949263.7500000007</v>
      </c>
      <c r="U12" s="10"/>
      <c r="V12" s="1"/>
    </row>
    <row r="13" spans="12:22" ht="15.75" x14ac:dyDescent="0.25">
      <c r="M13" s="1"/>
      <c r="N13" s="1"/>
      <c r="O13" s="10"/>
      <c r="P13" s="10"/>
      <c r="Q13" s="10"/>
      <c r="R13" s="10"/>
      <c r="S13" s="10"/>
      <c r="T13" s="10"/>
      <c r="U13" s="10"/>
      <c r="V13" s="1"/>
    </row>
    <row r="14" spans="12:22" ht="15.75" x14ac:dyDescent="0.25">
      <c r="M14" s="1"/>
      <c r="N14" s="1"/>
      <c r="O14" s="10"/>
      <c r="P14" s="10"/>
      <c r="Q14" s="10"/>
      <c r="R14" s="10"/>
      <c r="S14" s="10"/>
      <c r="T14" s="10"/>
      <c r="U14" s="10"/>
      <c r="V14" s="1"/>
    </row>
    <row r="15" spans="12:22" ht="15.75" x14ac:dyDescent="0.25">
      <c r="M15" s="1" t="s">
        <v>133</v>
      </c>
      <c r="N15" s="7">
        <f>-N2</f>
        <v>-4000000</v>
      </c>
      <c r="O15" s="7"/>
      <c r="P15" s="10"/>
      <c r="Q15" s="10"/>
      <c r="R15" s="10"/>
      <c r="S15" s="10"/>
      <c r="T15" s="10"/>
      <c r="U15" s="10"/>
      <c r="V15" s="1"/>
    </row>
    <row r="16" spans="12:22" ht="15.75" x14ac:dyDescent="0.25">
      <c r="L16" s="15" t="s">
        <v>134</v>
      </c>
      <c r="M16" s="15"/>
      <c r="N16" s="7">
        <f>-400000</f>
        <v>-400000</v>
      </c>
      <c r="O16" s="7">
        <f>-P4*1/6</f>
        <v>-500000</v>
      </c>
      <c r="P16" s="10">
        <f>-Q4*1/6</f>
        <v>-625000</v>
      </c>
      <c r="Q16" s="10">
        <f>-R4*1/6</f>
        <v>-687500.00000000012</v>
      </c>
      <c r="R16" s="10">
        <f>-S4*1/6</f>
        <v>-756250.00000000012</v>
      </c>
      <c r="S16" s="10">
        <f>-T4*1/6</f>
        <v>-831875.00000000035</v>
      </c>
      <c r="T16" s="10"/>
      <c r="U16" s="10"/>
      <c r="V16" s="1"/>
    </row>
    <row r="17" spans="7:22" ht="15.75" x14ac:dyDescent="0.25">
      <c r="L17" s="20" t="s">
        <v>135</v>
      </c>
      <c r="M17" s="20"/>
      <c r="N17" s="7"/>
      <c r="O17" s="10">
        <f>O16-N16</f>
        <v>-100000</v>
      </c>
      <c r="P17" s="10">
        <f t="shared" ref="P17:S17" si="9">P16-O16</f>
        <v>-125000</v>
      </c>
      <c r="Q17" s="10">
        <f t="shared" si="9"/>
        <v>-62500.000000000116</v>
      </c>
      <c r="R17" s="10">
        <f t="shared" si="9"/>
        <v>-68750</v>
      </c>
      <c r="S17" s="10">
        <f t="shared" si="9"/>
        <v>-75625.000000000233</v>
      </c>
      <c r="T17" s="10">
        <f>-SUM(S16)</f>
        <v>831875.00000000035</v>
      </c>
      <c r="U17" s="10"/>
      <c r="V17" s="1"/>
    </row>
    <row r="18" spans="7:22" ht="15.75" x14ac:dyDescent="0.25">
      <c r="L18" s="1" t="s">
        <v>136</v>
      </c>
      <c r="M18" s="1"/>
      <c r="N18" s="7"/>
      <c r="O18" s="10"/>
      <c r="P18" s="10"/>
      <c r="Q18" s="10"/>
      <c r="R18" s="10"/>
      <c r="S18" s="10"/>
      <c r="T18" s="10">
        <v>300000</v>
      </c>
      <c r="U18" s="10"/>
      <c r="V18" s="1"/>
    </row>
    <row r="19" spans="7:22" ht="15.75" x14ac:dyDescent="0.25">
      <c r="L19" s="1" t="s">
        <v>137</v>
      </c>
      <c r="M19" s="1"/>
      <c r="N19" s="7"/>
      <c r="O19" s="10"/>
      <c r="P19" s="10"/>
      <c r="Q19" s="10"/>
      <c r="R19" s="10"/>
      <c r="S19" s="10"/>
      <c r="T19" s="10">
        <f>-300000*J29</f>
        <v>-90000</v>
      </c>
      <c r="U19" s="10"/>
      <c r="V19" s="1"/>
    </row>
    <row r="20" spans="7:22" ht="16.5" thickBot="1" x14ac:dyDescent="0.3">
      <c r="L20" s="20" t="s">
        <v>132</v>
      </c>
      <c r="M20" s="20"/>
      <c r="N20" s="12">
        <f>SUM(N15:N19)</f>
        <v>-4400000</v>
      </c>
      <c r="O20" s="13">
        <f>O12+O17</f>
        <v>1040000</v>
      </c>
      <c r="P20" s="13">
        <f t="shared" ref="P20:S20" si="10">P12+P17</f>
        <v>1366000</v>
      </c>
      <c r="Q20" s="13">
        <f t="shared" si="10"/>
        <v>1568750</v>
      </c>
      <c r="R20" s="13">
        <f t="shared" si="10"/>
        <v>1630625</v>
      </c>
      <c r="S20" s="13">
        <f t="shared" si="10"/>
        <v>1739887.5000000002</v>
      </c>
      <c r="T20" s="13">
        <f>T12+T17+T18+T19</f>
        <v>2991138.7500000009</v>
      </c>
      <c r="U20" s="10"/>
      <c r="V20" s="1"/>
    </row>
    <row r="21" spans="7:22" ht="15.75" x14ac:dyDescent="0.25">
      <c r="L21" s="1"/>
      <c r="M21" s="1"/>
      <c r="N21" s="7"/>
      <c r="O21" s="10"/>
      <c r="P21" s="10"/>
      <c r="Q21" s="10"/>
      <c r="R21" s="10"/>
      <c r="S21" s="10"/>
      <c r="T21" s="10"/>
      <c r="U21" s="10"/>
      <c r="V21" s="1"/>
    </row>
    <row r="22" spans="7:22" ht="15.75" x14ac:dyDescent="0.25">
      <c r="M22" s="1"/>
      <c r="N22" s="16" t="s">
        <v>138</v>
      </c>
      <c r="O22" s="14">
        <f>NPV(J30,O20:T20)+N20</f>
        <v>2273098.0676008128</v>
      </c>
      <c r="P22" s="10"/>
      <c r="Q22" s="10"/>
      <c r="R22" s="10"/>
      <c r="S22" s="10"/>
      <c r="T22" s="10"/>
      <c r="U22" s="10"/>
      <c r="V22" s="1"/>
    </row>
    <row r="23" spans="7:22" ht="15.75" x14ac:dyDescent="0.25">
      <c r="M23" s="1"/>
      <c r="N23" s="7" t="s">
        <v>140</v>
      </c>
      <c r="O23" s="10"/>
      <c r="P23" s="10"/>
      <c r="Q23" s="10"/>
      <c r="R23" s="10"/>
      <c r="S23" s="10"/>
      <c r="T23" s="10"/>
      <c r="U23" s="10"/>
      <c r="V23" s="1"/>
    </row>
    <row r="24" spans="7:22" ht="15.75" x14ac:dyDescent="0.25">
      <c r="M24" s="1"/>
      <c r="N24" s="7"/>
      <c r="O24" s="10"/>
      <c r="P24" s="10"/>
      <c r="Q24" s="10"/>
      <c r="R24" s="10"/>
      <c r="S24" s="10"/>
      <c r="T24" s="10"/>
      <c r="U24" s="10"/>
      <c r="V24" s="1"/>
    </row>
    <row r="25" spans="7:22" ht="15.75" x14ac:dyDescent="0.25">
      <c r="M25" s="1"/>
      <c r="N25" s="7"/>
      <c r="O25" s="10"/>
      <c r="P25" s="10"/>
      <c r="Q25" s="10"/>
      <c r="R25" s="10"/>
      <c r="S25" s="10"/>
      <c r="T25" s="10"/>
      <c r="U25" s="10"/>
      <c r="V25" s="1"/>
    </row>
    <row r="26" spans="7:22" ht="15.75" x14ac:dyDescent="0.25">
      <c r="I26">
        <v>1</v>
      </c>
      <c r="M26" s="1"/>
      <c r="N26" s="1"/>
      <c r="O26" s="10"/>
      <c r="P26" s="10"/>
      <c r="Q26" s="10"/>
      <c r="R26" s="10"/>
      <c r="S26" s="10"/>
      <c r="T26" s="10"/>
      <c r="U26" s="10"/>
      <c r="V26" s="1"/>
    </row>
    <row r="27" spans="7:22" ht="15.75" x14ac:dyDescent="0.25">
      <c r="G27" t="s">
        <v>124</v>
      </c>
      <c r="I27" s="8">
        <f>25%</f>
        <v>0.25</v>
      </c>
      <c r="J27" s="8">
        <f>10%</f>
        <v>0.1</v>
      </c>
      <c r="M27" s="1"/>
      <c r="N27" s="1"/>
      <c r="O27" s="10"/>
      <c r="P27" s="10"/>
      <c r="Q27" s="10"/>
      <c r="R27" s="10"/>
      <c r="S27" s="10"/>
      <c r="T27" s="10"/>
      <c r="U27" s="10"/>
      <c r="V27" s="1"/>
    </row>
    <row r="28" spans="7:22" ht="15.75" x14ac:dyDescent="0.25">
      <c r="K28" s="8">
        <f>39%</f>
        <v>0.39</v>
      </c>
      <c r="M28" s="1"/>
      <c r="N28" s="1"/>
      <c r="O28" s="9"/>
      <c r="P28" s="9"/>
      <c r="Q28" s="9"/>
      <c r="R28" s="9"/>
      <c r="S28" s="9"/>
      <c r="T28" s="9"/>
      <c r="U28" s="9"/>
      <c r="V28" s="1"/>
    </row>
    <row r="29" spans="7:22" ht="15.75" x14ac:dyDescent="0.25">
      <c r="I29" t="s">
        <v>130</v>
      </c>
      <c r="J29" s="8">
        <f>30%</f>
        <v>0.3</v>
      </c>
      <c r="M29" s="1"/>
      <c r="N29" s="1"/>
      <c r="O29" s="9"/>
      <c r="P29" s="9"/>
      <c r="Q29" s="9"/>
      <c r="R29" s="9"/>
      <c r="S29" s="9"/>
      <c r="T29" s="9"/>
      <c r="U29" s="9"/>
      <c r="V29" s="1"/>
    </row>
    <row r="30" spans="7:22" ht="15.75" x14ac:dyDescent="0.25">
      <c r="I30" t="s">
        <v>139</v>
      </c>
      <c r="J30" s="8">
        <f>12%</f>
        <v>0.12</v>
      </c>
      <c r="M30" s="1"/>
      <c r="N30" s="1"/>
      <c r="O30" s="1"/>
      <c r="P30" s="1"/>
      <c r="Q30" s="1"/>
      <c r="R30" s="1"/>
      <c r="S30" s="1"/>
      <c r="T30" s="1"/>
      <c r="U30" s="1"/>
      <c r="V30" s="1"/>
    </row>
    <row r="31" spans="7:22" ht="15.75" x14ac:dyDescent="0.25">
      <c r="M31" s="1"/>
      <c r="N31" s="1"/>
      <c r="O31" s="1"/>
      <c r="P31" s="1"/>
      <c r="Q31" s="1"/>
      <c r="R31" s="1"/>
      <c r="S31" s="1"/>
      <c r="T31" s="1"/>
      <c r="U31" s="1"/>
      <c r="V31" s="1"/>
    </row>
  </sheetData>
  <mergeCells count="4">
    <mergeCell ref="L5:N5"/>
    <mergeCell ref="L6:N6"/>
    <mergeCell ref="L17:M17"/>
    <mergeCell ref="L20:M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66" workbookViewId="0">
      <selection activeCell="I18" sqref="I18"/>
    </sheetView>
  </sheetViews>
  <sheetFormatPr defaultRowHeight="15" x14ac:dyDescent="0.25"/>
  <cols>
    <col min="2" max="2" width="38.85546875" customWidth="1"/>
    <col min="3" max="3" width="11" customWidth="1"/>
  </cols>
  <sheetData>
    <row r="1" spans="1:11" ht="15.75" x14ac:dyDescent="0.25">
      <c r="A1" s="1"/>
      <c r="B1" s="1"/>
      <c r="C1" s="1"/>
      <c r="D1" s="1"/>
      <c r="E1" s="1"/>
      <c r="F1" s="1"/>
      <c r="G1" s="1"/>
      <c r="H1" s="1"/>
      <c r="I1" s="1"/>
      <c r="J1" s="1"/>
      <c r="K1" s="1"/>
    </row>
    <row r="2" spans="1:11" ht="15.75" x14ac:dyDescent="0.25">
      <c r="A2" s="1" t="s">
        <v>0</v>
      </c>
      <c r="B2" s="1"/>
      <c r="C2" s="1"/>
      <c r="D2" s="1"/>
      <c r="E2" s="1"/>
      <c r="F2" s="1"/>
      <c r="G2" s="1"/>
      <c r="H2" s="1"/>
      <c r="I2" s="1"/>
      <c r="J2" s="1"/>
      <c r="K2" s="1"/>
    </row>
    <row r="3" spans="1:11" ht="15.75" x14ac:dyDescent="0.25">
      <c r="A3" s="1"/>
      <c r="B3" s="20" t="s">
        <v>1</v>
      </c>
      <c r="C3" s="20"/>
      <c r="D3" s="20"/>
      <c r="E3" s="1"/>
      <c r="F3" s="1"/>
      <c r="G3" s="1"/>
      <c r="H3" s="1"/>
      <c r="I3" s="1"/>
      <c r="J3" s="1"/>
      <c r="K3" s="1"/>
    </row>
    <row r="4" spans="1:11" ht="15.75" x14ac:dyDescent="0.25">
      <c r="A4" s="1"/>
      <c r="B4" s="1"/>
      <c r="C4" s="1"/>
      <c r="D4" s="1"/>
      <c r="E4" s="1"/>
      <c r="F4" s="1"/>
      <c r="G4" s="1"/>
      <c r="H4" s="1"/>
      <c r="I4" s="1"/>
      <c r="J4" s="1"/>
      <c r="K4" s="1"/>
    </row>
    <row r="5" spans="1:11" ht="15.75" x14ac:dyDescent="0.25">
      <c r="A5" s="1"/>
      <c r="B5" s="1"/>
      <c r="C5" s="1" t="s">
        <v>2</v>
      </c>
      <c r="D5" s="1" t="s">
        <v>3</v>
      </c>
      <c r="E5" s="1"/>
      <c r="F5" s="1"/>
      <c r="G5" s="1"/>
      <c r="H5" s="1"/>
      <c r="I5" s="1"/>
      <c r="J5" s="1"/>
      <c r="K5" s="1"/>
    </row>
    <row r="6" spans="1:11" ht="15.75" x14ac:dyDescent="0.25">
      <c r="A6" s="1"/>
      <c r="B6" s="1"/>
      <c r="C6" s="1" t="s">
        <v>4</v>
      </c>
      <c r="D6" s="1" t="s">
        <v>4</v>
      </c>
      <c r="E6" s="1"/>
      <c r="F6" s="1"/>
      <c r="G6" s="1"/>
      <c r="H6" s="1"/>
      <c r="I6" s="1"/>
      <c r="J6" s="1"/>
      <c r="K6" s="1"/>
    </row>
    <row r="7" spans="1:11" ht="15.75" x14ac:dyDescent="0.25">
      <c r="A7" s="1"/>
      <c r="B7" s="1" t="s">
        <v>5</v>
      </c>
      <c r="C7" s="1">
        <v>87500</v>
      </c>
      <c r="D7" s="1">
        <v>140000</v>
      </c>
      <c r="E7" s="1"/>
      <c r="F7" s="1"/>
      <c r="G7" s="1"/>
      <c r="H7" s="1"/>
      <c r="I7" s="1"/>
      <c r="J7" s="1"/>
      <c r="K7" s="1"/>
    </row>
    <row r="8" spans="1:11" ht="15.75" x14ac:dyDescent="0.25">
      <c r="A8" s="1"/>
      <c r="B8" s="1" t="s">
        <v>6</v>
      </c>
      <c r="C8" s="1">
        <v>-66500</v>
      </c>
      <c r="D8" s="1">
        <v>-114800</v>
      </c>
      <c r="E8" s="1"/>
      <c r="F8" s="1"/>
      <c r="G8" s="1"/>
      <c r="H8" s="1"/>
      <c r="I8" s="1"/>
      <c r="J8" s="1"/>
      <c r="K8" s="1"/>
    </row>
    <row r="9" spans="1:11" ht="15.75" x14ac:dyDescent="0.25">
      <c r="A9" s="1"/>
      <c r="B9" s="1" t="s">
        <v>7</v>
      </c>
      <c r="C9" s="2">
        <v>21000</v>
      </c>
      <c r="D9" s="2">
        <v>25200</v>
      </c>
      <c r="E9" s="1"/>
      <c r="F9" s="1"/>
      <c r="G9" s="1"/>
      <c r="H9" s="1"/>
      <c r="I9" s="1"/>
      <c r="J9" s="1"/>
      <c r="K9" s="1"/>
    </row>
    <row r="10" spans="1:11" ht="15.75" x14ac:dyDescent="0.25">
      <c r="A10" s="1"/>
      <c r="B10" s="1" t="s">
        <v>8</v>
      </c>
      <c r="C10" s="1">
        <v>-1495</v>
      </c>
      <c r="D10" s="1">
        <v>-2710</v>
      </c>
      <c r="E10" s="1"/>
      <c r="F10" s="1"/>
      <c r="G10" s="1"/>
      <c r="H10" s="1"/>
      <c r="I10" s="1"/>
      <c r="J10" s="1"/>
      <c r="K10" s="1"/>
    </row>
    <row r="11" spans="1:11" ht="15.75" x14ac:dyDescent="0.25">
      <c r="A11" s="1"/>
      <c r="B11" s="1" t="s">
        <v>9</v>
      </c>
      <c r="C11" s="1">
        <v>-2880</v>
      </c>
      <c r="D11" s="1">
        <v>-5340</v>
      </c>
      <c r="E11" s="1"/>
      <c r="F11" s="1"/>
      <c r="G11" s="1"/>
      <c r="H11" s="1"/>
      <c r="I11" s="1"/>
      <c r="J11" s="1"/>
      <c r="K11" s="1"/>
    </row>
    <row r="12" spans="1:11" ht="15.75" x14ac:dyDescent="0.25">
      <c r="A12" s="1"/>
      <c r="B12" s="1" t="s">
        <v>10</v>
      </c>
      <c r="C12" s="2">
        <v>16625</v>
      </c>
      <c r="D12" s="2">
        <v>17150</v>
      </c>
      <c r="E12" s="1"/>
      <c r="F12" s="1"/>
      <c r="G12" s="1"/>
      <c r="H12" s="1"/>
      <c r="I12" s="1"/>
      <c r="J12" s="1"/>
      <c r="K12" s="1"/>
    </row>
    <row r="13" spans="1:11" ht="15.75" x14ac:dyDescent="0.25">
      <c r="A13" s="1"/>
      <c r="B13" s="1" t="s">
        <v>11</v>
      </c>
      <c r="C13" s="1">
        <v>-875</v>
      </c>
      <c r="D13" s="1">
        <v>-3150</v>
      </c>
      <c r="E13" s="1"/>
      <c r="F13" s="1"/>
      <c r="G13" s="1"/>
      <c r="H13" s="1"/>
      <c r="I13" s="1"/>
      <c r="J13" s="1"/>
      <c r="K13" s="1"/>
    </row>
    <row r="14" spans="1:11" ht="15.75" x14ac:dyDescent="0.25">
      <c r="A14" s="1"/>
      <c r="B14" s="1" t="s">
        <v>12</v>
      </c>
      <c r="C14" s="2">
        <v>15750</v>
      </c>
      <c r="D14" s="2">
        <v>14000</v>
      </c>
      <c r="E14" s="1"/>
      <c r="F14" s="1"/>
      <c r="G14" s="1"/>
      <c r="H14" s="1"/>
      <c r="I14" s="1"/>
      <c r="J14" s="1"/>
      <c r="K14" s="1"/>
    </row>
    <row r="15" spans="1:11" ht="15.75" x14ac:dyDescent="0.25">
      <c r="A15" s="1"/>
      <c r="B15" s="1" t="s">
        <v>13</v>
      </c>
      <c r="C15" s="1">
        <v>-3150</v>
      </c>
      <c r="D15" s="1">
        <v>-3500</v>
      </c>
      <c r="E15" s="1"/>
      <c r="F15" s="1"/>
      <c r="G15" s="1"/>
      <c r="H15" s="1"/>
      <c r="I15" s="1"/>
      <c r="J15" s="1"/>
      <c r="K15" s="1"/>
    </row>
    <row r="16" spans="1:11" ht="15.75" x14ac:dyDescent="0.25">
      <c r="A16" s="1"/>
      <c r="B16" s="1" t="s">
        <v>14</v>
      </c>
      <c r="C16" s="2">
        <v>12600</v>
      </c>
      <c r="D16" s="2">
        <v>10500</v>
      </c>
      <c r="E16" s="1"/>
      <c r="F16" s="1"/>
      <c r="G16" s="1"/>
      <c r="H16" s="1"/>
      <c r="I16" s="1"/>
      <c r="J16" s="1"/>
      <c r="K16" s="1"/>
    </row>
    <row r="17" spans="1:11" ht="15.75" x14ac:dyDescent="0.25">
      <c r="A17" s="1"/>
      <c r="B17" s="1"/>
      <c r="C17" s="1"/>
      <c r="D17" s="1"/>
      <c r="E17" s="1"/>
      <c r="F17" s="1"/>
      <c r="G17" s="1"/>
      <c r="H17" s="1"/>
      <c r="I17" s="1"/>
      <c r="J17" s="1"/>
      <c r="K17" s="1"/>
    </row>
    <row r="18" spans="1:11" ht="15.75" x14ac:dyDescent="0.25">
      <c r="A18" s="1"/>
      <c r="B18" s="20" t="s">
        <v>15</v>
      </c>
      <c r="C18" s="20"/>
      <c r="D18" s="20"/>
      <c r="E18" s="1"/>
      <c r="F18" s="1"/>
      <c r="G18" s="1"/>
      <c r="H18" s="1"/>
      <c r="I18" s="1"/>
      <c r="J18" s="1"/>
      <c r="K18" s="1"/>
    </row>
    <row r="19" spans="1:11" ht="15.75" x14ac:dyDescent="0.25">
      <c r="A19" s="1"/>
      <c r="B19" s="1"/>
      <c r="C19" s="1" t="s">
        <v>2</v>
      </c>
      <c r="D19" s="1" t="s">
        <v>3</v>
      </c>
      <c r="E19" s="1"/>
      <c r="F19" s="1"/>
      <c r="G19" s="1"/>
      <c r="H19" s="1"/>
      <c r="I19" s="1"/>
      <c r="J19" s="1"/>
      <c r="K19" s="1"/>
    </row>
    <row r="20" spans="1:11" ht="15.75" x14ac:dyDescent="0.25">
      <c r="A20" s="1"/>
      <c r="B20" s="1"/>
      <c r="C20" s="1" t="s">
        <v>4</v>
      </c>
      <c r="D20" s="1" t="s">
        <v>4</v>
      </c>
      <c r="E20" s="1"/>
      <c r="F20" s="1"/>
      <c r="G20" s="1"/>
      <c r="H20" s="1"/>
      <c r="I20" s="1"/>
      <c r="J20" s="1"/>
      <c r="K20" s="1"/>
    </row>
    <row r="21" spans="1:11" ht="15.75" x14ac:dyDescent="0.25">
      <c r="A21" s="1"/>
      <c r="B21" s="3" t="s">
        <v>16</v>
      </c>
      <c r="C21" s="1"/>
      <c r="D21" s="1"/>
      <c r="E21" s="1"/>
      <c r="F21" s="1"/>
      <c r="G21" s="1"/>
      <c r="H21" s="1"/>
      <c r="I21" s="1"/>
      <c r="J21" s="1"/>
      <c r="K21" s="1"/>
    </row>
    <row r="22" spans="1:11" ht="15.75" x14ac:dyDescent="0.25">
      <c r="A22" s="1"/>
      <c r="B22" s="3" t="s">
        <v>17</v>
      </c>
      <c r="C22" s="1"/>
      <c r="D22" s="1"/>
      <c r="E22" s="1"/>
      <c r="F22" s="1"/>
      <c r="G22" s="1"/>
      <c r="H22" s="1"/>
      <c r="I22" s="1"/>
      <c r="J22" s="1"/>
      <c r="K22" s="1"/>
    </row>
    <row r="23" spans="1:11" ht="15.75" x14ac:dyDescent="0.25">
      <c r="A23" s="1"/>
      <c r="B23" s="1" t="s">
        <v>18</v>
      </c>
      <c r="C23" s="1">
        <v>9800</v>
      </c>
      <c r="D23" s="1">
        <v>10500</v>
      </c>
      <c r="E23" s="1"/>
      <c r="F23" s="1"/>
      <c r="G23" s="1"/>
      <c r="H23" s="1"/>
      <c r="I23" s="1"/>
      <c r="J23" s="1"/>
      <c r="K23" s="1"/>
    </row>
    <row r="24" spans="1:11" ht="15.75" x14ac:dyDescent="0.25">
      <c r="A24" s="1"/>
      <c r="B24" s="1" t="s">
        <v>19</v>
      </c>
      <c r="C24" s="1">
        <v>7000</v>
      </c>
      <c r="D24" s="1">
        <v>8050</v>
      </c>
      <c r="E24" s="1"/>
      <c r="F24" s="1"/>
      <c r="G24" s="1"/>
      <c r="H24" s="1"/>
      <c r="I24" s="1"/>
      <c r="J24" s="1"/>
      <c r="K24" s="1"/>
    </row>
    <row r="25" spans="1:11" ht="15.75" x14ac:dyDescent="0.25">
      <c r="A25" s="1"/>
      <c r="B25" s="1" t="s">
        <v>20</v>
      </c>
      <c r="C25" s="1" t="s">
        <v>21</v>
      </c>
      <c r="D25" s="1">
        <v>17500</v>
      </c>
      <c r="E25" s="1"/>
      <c r="F25" s="1"/>
      <c r="G25" s="1"/>
      <c r="H25" s="1"/>
      <c r="I25" s="1"/>
      <c r="J25" s="1"/>
      <c r="K25" s="1"/>
    </row>
    <row r="26" spans="1:11" ht="15.75" x14ac:dyDescent="0.25">
      <c r="A26" s="1"/>
      <c r="B26" s="1"/>
      <c r="C26" s="2">
        <v>16800</v>
      </c>
      <c r="D26" s="2">
        <v>36050</v>
      </c>
      <c r="E26" s="1"/>
      <c r="F26" s="1"/>
      <c r="G26" s="1"/>
      <c r="H26" s="1"/>
      <c r="I26" s="1"/>
      <c r="J26" s="1"/>
      <c r="K26" s="1"/>
    </row>
    <row r="27" spans="1:11" ht="15.75" x14ac:dyDescent="0.25">
      <c r="A27" s="1"/>
      <c r="B27" s="3" t="s">
        <v>22</v>
      </c>
      <c r="C27" s="1"/>
      <c r="D27" s="1"/>
      <c r="E27" s="1"/>
      <c r="F27" s="1"/>
      <c r="G27" s="1"/>
      <c r="H27" s="1"/>
      <c r="I27" s="1"/>
      <c r="J27" s="1"/>
      <c r="K27" s="1"/>
    </row>
    <row r="28" spans="1:11" ht="15.75" x14ac:dyDescent="0.25">
      <c r="A28" s="1"/>
      <c r="B28" s="1" t="s">
        <v>23</v>
      </c>
      <c r="C28" s="1">
        <v>5600</v>
      </c>
      <c r="D28" s="1">
        <v>11900</v>
      </c>
      <c r="E28" s="1"/>
      <c r="F28" s="1"/>
      <c r="G28" s="1"/>
      <c r="H28" s="1"/>
      <c r="I28" s="1"/>
      <c r="J28" s="1"/>
      <c r="K28" s="1"/>
    </row>
    <row r="29" spans="1:11" ht="15.75" x14ac:dyDescent="0.25">
      <c r="A29" s="1"/>
      <c r="B29" s="1" t="s">
        <v>24</v>
      </c>
      <c r="C29" s="1">
        <v>7350</v>
      </c>
      <c r="D29" s="1">
        <v>17850</v>
      </c>
      <c r="E29" s="1"/>
      <c r="F29" s="1"/>
      <c r="G29" s="1"/>
      <c r="H29" s="1"/>
      <c r="I29" s="1"/>
      <c r="J29" s="1"/>
      <c r="K29" s="1"/>
    </row>
    <row r="30" spans="1:11" ht="15.75" x14ac:dyDescent="0.25">
      <c r="A30" s="1"/>
      <c r="B30" s="1" t="s">
        <v>25</v>
      </c>
      <c r="C30" s="1">
        <v>3850</v>
      </c>
      <c r="D30" s="1">
        <v>700</v>
      </c>
      <c r="E30" s="1"/>
      <c r="F30" s="1"/>
      <c r="G30" s="1"/>
      <c r="H30" s="1"/>
      <c r="I30" s="1"/>
      <c r="J30" s="1"/>
      <c r="K30" s="1"/>
    </row>
    <row r="31" spans="1:11" ht="16.5" thickBot="1" x14ac:dyDescent="0.3">
      <c r="A31" s="1"/>
      <c r="B31" s="3" t="s">
        <v>26</v>
      </c>
      <c r="C31" s="4">
        <v>33600</v>
      </c>
      <c r="D31" s="4">
        <v>66500</v>
      </c>
      <c r="E31" s="1"/>
      <c r="F31" s="1"/>
      <c r="G31" s="1"/>
      <c r="H31" s="1"/>
      <c r="I31" s="1"/>
      <c r="J31" s="1"/>
      <c r="K31" s="1"/>
    </row>
    <row r="32" spans="1:11" ht="15.75" x14ac:dyDescent="0.25">
      <c r="A32" s="1"/>
      <c r="B32" s="3" t="s">
        <v>27</v>
      </c>
      <c r="C32" s="1"/>
      <c r="D32" s="1"/>
      <c r="E32" s="1"/>
      <c r="F32" s="1"/>
      <c r="G32" s="1"/>
      <c r="H32" s="1"/>
      <c r="I32" s="1"/>
      <c r="J32" s="1"/>
      <c r="K32" s="1"/>
    </row>
    <row r="33" spans="1:11" ht="15.75" x14ac:dyDescent="0.25">
      <c r="A33" s="1"/>
      <c r="B33" s="3" t="s">
        <v>28</v>
      </c>
      <c r="C33" s="1"/>
      <c r="D33" s="1"/>
      <c r="E33" s="1"/>
      <c r="F33" s="1"/>
      <c r="G33" s="1"/>
      <c r="H33" s="1"/>
      <c r="I33" s="1"/>
      <c r="J33" s="1"/>
      <c r="K33" s="1"/>
    </row>
    <row r="34" spans="1:11" ht="15.75" x14ac:dyDescent="0.25">
      <c r="A34" s="1"/>
      <c r="B34" s="1" t="s">
        <v>29</v>
      </c>
      <c r="C34" s="1">
        <v>3500</v>
      </c>
      <c r="D34" s="1">
        <v>7000</v>
      </c>
      <c r="E34" s="1"/>
      <c r="F34" s="1"/>
      <c r="G34" s="1"/>
      <c r="H34" s="1"/>
      <c r="I34" s="1"/>
      <c r="J34" s="1"/>
      <c r="K34" s="1"/>
    </row>
    <row r="35" spans="1:11" ht="15.75" x14ac:dyDescent="0.25">
      <c r="A35" s="1"/>
      <c r="B35" s="1" t="s">
        <v>30</v>
      </c>
      <c r="C35" s="1">
        <v>1750</v>
      </c>
      <c r="D35" s="1">
        <v>3150</v>
      </c>
      <c r="E35" s="1"/>
      <c r="F35" s="1"/>
      <c r="G35" s="1"/>
      <c r="H35" s="1"/>
      <c r="I35" s="1"/>
      <c r="J35" s="1"/>
      <c r="K35" s="1"/>
    </row>
    <row r="36" spans="1:11" ht="15.75" x14ac:dyDescent="0.25">
      <c r="A36" s="1"/>
      <c r="B36" s="1" t="s">
        <v>31</v>
      </c>
      <c r="C36" s="1">
        <v>5600</v>
      </c>
      <c r="D36" s="1">
        <v>3450</v>
      </c>
      <c r="E36" s="1"/>
      <c r="F36" s="1"/>
      <c r="G36" s="1"/>
      <c r="H36" s="1"/>
      <c r="I36" s="1"/>
      <c r="J36" s="1"/>
      <c r="K36" s="1"/>
    </row>
    <row r="37" spans="1:11" ht="15.75" x14ac:dyDescent="0.25">
      <c r="A37" s="1"/>
      <c r="B37" s="1" t="s">
        <v>32</v>
      </c>
      <c r="C37" s="2">
        <v>10850</v>
      </c>
      <c r="D37" s="2">
        <v>19600</v>
      </c>
      <c r="E37" s="1"/>
      <c r="F37" s="1"/>
      <c r="G37" s="1"/>
      <c r="H37" s="1"/>
      <c r="I37" s="1"/>
      <c r="J37" s="1"/>
      <c r="K37" s="1"/>
    </row>
    <row r="38" spans="1:11" ht="15.75" x14ac:dyDescent="0.25">
      <c r="A38" s="1"/>
      <c r="B38" s="3" t="s">
        <v>33</v>
      </c>
      <c r="C38" s="1"/>
      <c r="D38" s="1"/>
      <c r="E38" s="1"/>
      <c r="F38" s="1"/>
      <c r="G38" s="1"/>
      <c r="H38" s="1"/>
      <c r="I38" s="1"/>
      <c r="J38" s="1"/>
      <c r="K38" s="1"/>
    </row>
    <row r="39" spans="1:11" ht="15.75" x14ac:dyDescent="0.25">
      <c r="A39" s="1"/>
      <c r="B39" s="1" t="s">
        <v>34</v>
      </c>
      <c r="C39" s="1" t="s">
        <v>21</v>
      </c>
      <c r="D39" s="1">
        <v>14700</v>
      </c>
      <c r="E39" s="1"/>
      <c r="F39" s="1"/>
      <c r="G39" s="1"/>
      <c r="H39" s="1"/>
      <c r="I39" s="1"/>
      <c r="J39" s="1"/>
      <c r="K39" s="1"/>
    </row>
    <row r="40" spans="1:11" ht="15.75" x14ac:dyDescent="0.25">
      <c r="A40" s="1"/>
      <c r="B40" s="1" t="s">
        <v>35</v>
      </c>
      <c r="C40" s="1">
        <v>15750</v>
      </c>
      <c r="D40" s="1">
        <v>17500</v>
      </c>
      <c r="E40" s="1"/>
      <c r="F40" s="1"/>
      <c r="G40" s="1"/>
      <c r="H40" s="1"/>
      <c r="I40" s="1"/>
      <c r="J40" s="1"/>
      <c r="K40" s="1"/>
    </row>
    <row r="41" spans="1:11" ht="15.75" x14ac:dyDescent="0.25">
      <c r="A41" s="1"/>
      <c r="B41" s="3" t="s">
        <v>36</v>
      </c>
      <c r="C41" s="1"/>
      <c r="D41" s="1"/>
      <c r="E41" s="1"/>
      <c r="F41" s="1"/>
      <c r="G41" s="1"/>
      <c r="H41" s="1"/>
      <c r="I41" s="1"/>
      <c r="J41" s="1"/>
      <c r="K41" s="1"/>
    </row>
    <row r="42" spans="1:11" ht="15.75" x14ac:dyDescent="0.25">
      <c r="A42" s="1"/>
      <c r="B42" s="1" t="s">
        <v>37</v>
      </c>
      <c r="C42" s="1">
        <v>4375</v>
      </c>
      <c r="D42" s="1">
        <v>7350</v>
      </c>
      <c r="E42" s="1"/>
      <c r="F42" s="1"/>
      <c r="G42" s="1"/>
      <c r="H42" s="1"/>
      <c r="I42" s="1"/>
      <c r="J42" s="1"/>
      <c r="K42" s="1"/>
    </row>
    <row r="43" spans="1:11" ht="15.75" x14ac:dyDescent="0.25">
      <c r="A43" s="1"/>
      <c r="B43" s="1" t="s">
        <v>34</v>
      </c>
      <c r="C43" s="1" t="s">
        <v>21</v>
      </c>
      <c r="D43" s="1">
        <v>2450</v>
      </c>
      <c r="E43" s="1"/>
      <c r="F43" s="1"/>
      <c r="G43" s="1"/>
      <c r="H43" s="1"/>
      <c r="I43" s="1"/>
      <c r="J43" s="1"/>
      <c r="K43" s="1"/>
    </row>
    <row r="44" spans="1:11" ht="15.75" x14ac:dyDescent="0.25">
      <c r="A44" s="1"/>
      <c r="B44" s="1" t="s">
        <v>38</v>
      </c>
      <c r="C44" s="1">
        <v>2625</v>
      </c>
      <c r="D44" s="1">
        <v>4900</v>
      </c>
      <c r="E44" s="1"/>
      <c r="F44" s="1"/>
      <c r="G44" s="1"/>
      <c r="H44" s="1"/>
      <c r="I44" s="1"/>
      <c r="J44" s="1"/>
      <c r="K44" s="1"/>
    </row>
    <row r="45" spans="1:11" ht="16.5" thickBot="1" x14ac:dyDescent="0.3">
      <c r="A45" s="1"/>
      <c r="B45" s="3" t="s">
        <v>39</v>
      </c>
      <c r="C45" s="4">
        <v>33600</v>
      </c>
      <c r="D45" s="4">
        <v>66500</v>
      </c>
      <c r="E45" s="1"/>
      <c r="F45" s="1"/>
      <c r="G45" s="1"/>
      <c r="H45" s="1"/>
      <c r="I45" s="1"/>
      <c r="J45" s="1"/>
      <c r="K45" s="1"/>
    </row>
    <row r="46" spans="1:11" ht="15.75" x14ac:dyDescent="0.25">
      <c r="A46" s="1"/>
      <c r="B46" s="1"/>
      <c r="C46" s="1"/>
      <c r="D46" s="1"/>
      <c r="E46" s="1"/>
      <c r="F46" s="1"/>
      <c r="G46" s="1"/>
      <c r="H46" s="1"/>
      <c r="I46" s="1"/>
      <c r="J46" s="1"/>
      <c r="K46" s="1"/>
    </row>
    <row r="47" spans="1:11" ht="15.75" x14ac:dyDescent="0.25">
      <c r="A47" s="1"/>
      <c r="B47" s="1" t="s">
        <v>40</v>
      </c>
      <c r="C47" s="1"/>
      <c r="D47" s="1"/>
      <c r="E47" s="1"/>
      <c r="F47" s="1"/>
      <c r="G47" s="1"/>
      <c r="H47" s="1"/>
      <c r="I47" s="1"/>
      <c r="J47" s="1"/>
      <c r="K47" s="1"/>
    </row>
    <row r="48" spans="1:11" ht="15.75" x14ac:dyDescent="0.25">
      <c r="A48" s="1"/>
      <c r="B48" s="21" t="s">
        <v>41</v>
      </c>
      <c r="C48" s="21"/>
      <c r="D48" s="21"/>
      <c r="E48" s="21"/>
      <c r="F48" s="21"/>
      <c r="G48" s="21"/>
      <c r="H48" s="21"/>
      <c r="I48" s="21"/>
      <c r="J48" s="21"/>
      <c r="K48" s="21"/>
    </row>
    <row r="49" spans="1:11" ht="15.75" x14ac:dyDescent="0.25">
      <c r="A49" s="1"/>
      <c r="B49" s="21" t="s">
        <v>42</v>
      </c>
      <c r="C49" s="21"/>
      <c r="D49" s="21"/>
      <c r="E49" s="21"/>
      <c r="F49" s="21"/>
      <c r="G49" s="21"/>
      <c r="H49" s="21"/>
      <c r="I49" s="21"/>
      <c r="J49" s="1"/>
      <c r="K49" s="1"/>
    </row>
    <row r="50" spans="1:11" ht="15.75" x14ac:dyDescent="0.25">
      <c r="A50" s="1"/>
      <c r="B50" s="21" t="s">
        <v>43</v>
      </c>
      <c r="C50" s="21"/>
      <c r="D50" s="21"/>
      <c r="E50" s="21"/>
      <c r="F50" s="21"/>
      <c r="G50" s="21"/>
      <c r="H50" s="21"/>
      <c r="I50" s="21"/>
      <c r="J50" s="1"/>
      <c r="K50" s="1"/>
    </row>
    <row r="51" spans="1:11" ht="15.75" x14ac:dyDescent="0.25">
      <c r="A51" s="1"/>
      <c r="B51" s="1"/>
      <c r="C51" s="1"/>
      <c r="D51" s="1"/>
      <c r="E51" s="1"/>
      <c r="F51" s="1"/>
      <c r="G51" s="1"/>
      <c r="H51" s="1"/>
      <c r="I51" s="1"/>
      <c r="J51" s="1"/>
      <c r="K51" s="1"/>
    </row>
  </sheetData>
  <mergeCells count="5">
    <mergeCell ref="B3:D3"/>
    <mergeCell ref="B18:D18"/>
    <mergeCell ref="B48:K48"/>
    <mergeCell ref="B49:I49"/>
    <mergeCell ref="B50:I5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0"/>
  <sheetViews>
    <sheetView workbookViewId="0">
      <selection activeCell="L36" sqref="L36"/>
    </sheetView>
  </sheetViews>
  <sheetFormatPr defaultRowHeight="15" x14ac:dyDescent="0.25"/>
  <cols>
    <col min="3" max="3" width="12" customWidth="1"/>
  </cols>
  <sheetData>
    <row r="9" spans="1:8" ht="15.75" x14ac:dyDescent="0.25">
      <c r="B9" s="1" t="s">
        <v>111</v>
      </c>
      <c r="C9" s="1"/>
      <c r="D9" s="1"/>
      <c r="E9" s="1">
        <v>5000</v>
      </c>
    </row>
    <row r="10" spans="1:8" ht="15.75" x14ac:dyDescent="0.25">
      <c r="B10" s="1" t="s">
        <v>112</v>
      </c>
      <c r="C10" s="1"/>
      <c r="D10" s="1"/>
      <c r="E10" s="1">
        <v>5500</v>
      </c>
    </row>
    <row r="11" spans="1:8" ht="15.75" x14ac:dyDescent="0.25">
      <c r="B11" s="1" t="s">
        <v>113</v>
      </c>
      <c r="C11" s="1"/>
      <c r="D11" s="1"/>
      <c r="E11" s="1">
        <v>6000</v>
      </c>
    </row>
    <row r="12" spans="1:8" ht="15.75" x14ac:dyDescent="0.25">
      <c r="B12" s="1"/>
      <c r="C12" s="1"/>
      <c r="D12" s="1"/>
      <c r="E12" s="1"/>
    </row>
    <row r="13" spans="1:8" ht="15.75" x14ac:dyDescent="0.25">
      <c r="A13" s="1" t="s">
        <v>114</v>
      </c>
    </row>
    <row r="14" spans="1:8" ht="15.75" x14ac:dyDescent="0.25">
      <c r="B14" s="1"/>
      <c r="C14" s="3" t="s">
        <v>115</v>
      </c>
      <c r="D14" s="1"/>
      <c r="E14" s="1"/>
      <c r="F14" s="1"/>
      <c r="G14" s="1"/>
      <c r="H14" s="1"/>
    </row>
    <row r="15" spans="1:8" ht="15.75" x14ac:dyDescent="0.25">
      <c r="B15" s="1" t="s">
        <v>121</v>
      </c>
      <c r="C15" s="1"/>
      <c r="D15" s="1">
        <f>E9</f>
        <v>5000</v>
      </c>
      <c r="E15" s="1"/>
      <c r="F15" s="1">
        <f>E10</f>
        <v>5500</v>
      </c>
      <c r="G15" s="1"/>
      <c r="H15" s="1">
        <f>E11</f>
        <v>6000</v>
      </c>
    </row>
    <row r="16" spans="1:8" ht="15.75" x14ac:dyDescent="0.25">
      <c r="B16" s="3" t="s">
        <v>116</v>
      </c>
      <c r="C16" s="1"/>
      <c r="D16" s="22" t="s">
        <v>117</v>
      </c>
      <c r="E16" s="22"/>
      <c r="F16" s="22"/>
      <c r="G16" s="22"/>
      <c r="H16" s="1"/>
    </row>
    <row r="17" spans="2:8" ht="15.75" x14ac:dyDescent="0.25">
      <c r="B17" s="1" t="s">
        <v>118</v>
      </c>
      <c r="C17" s="1"/>
      <c r="D17" s="1">
        <v>13000</v>
      </c>
      <c r="E17" s="1"/>
      <c r="F17" s="1">
        <v>12500</v>
      </c>
      <c r="G17" s="1"/>
      <c r="H17" s="1">
        <v>8500</v>
      </c>
    </row>
    <row r="18" spans="2:8" ht="15.75" x14ac:dyDescent="0.25">
      <c r="B18" s="1" t="s">
        <v>119</v>
      </c>
      <c r="C18" s="1"/>
      <c r="D18" s="1">
        <v>10000</v>
      </c>
      <c r="E18" s="1"/>
      <c r="F18" s="1">
        <v>9000</v>
      </c>
      <c r="G18" s="1"/>
      <c r="H18" s="1">
        <v>8500</v>
      </c>
    </row>
    <row r="19" spans="2:8" ht="15.75" x14ac:dyDescent="0.25">
      <c r="B19" s="1" t="s">
        <v>120</v>
      </c>
      <c r="C19" s="1"/>
      <c r="D19" s="1">
        <v>6000</v>
      </c>
      <c r="E19" s="1"/>
      <c r="F19" s="1">
        <v>6000</v>
      </c>
      <c r="G19" s="1"/>
      <c r="H19" s="1">
        <v>3500</v>
      </c>
    </row>
    <row r="20" spans="2:8" ht="15.75" x14ac:dyDescent="0.25">
      <c r="B20" s="1"/>
      <c r="C20" s="1"/>
      <c r="D20" s="1"/>
      <c r="E20" s="1"/>
      <c r="F20" s="1"/>
      <c r="G20" s="1"/>
      <c r="H20" s="1"/>
    </row>
  </sheetData>
  <mergeCells count="1">
    <mergeCell ref="D16:G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workbookViewId="0">
      <selection activeCell="L7" sqref="L7"/>
    </sheetView>
  </sheetViews>
  <sheetFormatPr defaultRowHeight="15" x14ac:dyDescent="0.25"/>
  <sheetData>
    <row r="1" spans="1:14" ht="15.75" x14ac:dyDescent="0.25">
      <c r="A1" s="1" t="s">
        <v>150</v>
      </c>
      <c r="B1" s="1"/>
      <c r="C1" s="1"/>
      <c r="D1" s="1"/>
      <c r="E1" s="1"/>
      <c r="F1" s="1"/>
      <c r="G1" s="1"/>
      <c r="H1" s="1"/>
      <c r="I1" s="1"/>
      <c r="J1" s="1"/>
      <c r="K1" s="1"/>
      <c r="L1" s="1"/>
      <c r="M1" s="1"/>
      <c r="N1" s="6"/>
    </row>
    <row r="2" spans="1:14" ht="15.75" x14ac:dyDescent="0.25">
      <c r="A2" s="1"/>
      <c r="B2" s="1"/>
      <c r="C2" s="1"/>
      <c r="D2" s="1"/>
      <c r="E2" s="1" t="s">
        <v>142</v>
      </c>
      <c r="F2" s="1"/>
      <c r="G2" s="1" t="s">
        <v>143</v>
      </c>
      <c r="H2" s="1"/>
      <c r="I2" s="1" t="s">
        <v>144</v>
      </c>
      <c r="J2" s="1"/>
      <c r="K2" s="1"/>
      <c r="L2" s="1"/>
      <c r="M2" s="1"/>
      <c r="N2" s="6"/>
    </row>
    <row r="3" spans="1:14" ht="15.75" x14ac:dyDescent="0.25">
      <c r="A3" s="1" t="s">
        <v>141</v>
      </c>
      <c r="B3" s="1"/>
      <c r="C3" s="1"/>
      <c r="D3" s="1"/>
      <c r="E3" s="1">
        <v>640</v>
      </c>
      <c r="F3" s="1"/>
      <c r="G3" s="1">
        <v>720</v>
      </c>
      <c r="H3" s="1"/>
      <c r="I3" s="1">
        <v>80</v>
      </c>
      <c r="J3" s="1"/>
      <c r="K3" s="1"/>
      <c r="L3" s="1" t="s">
        <v>161</v>
      </c>
      <c r="M3" s="1"/>
      <c r="N3" s="6">
        <f>G3/E3</f>
        <v>1.125</v>
      </c>
    </row>
    <row r="4" spans="1:14" ht="15.75" x14ac:dyDescent="0.25">
      <c r="A4" s="1"/>
      <c r="B4" s="1"/>
      <c r="C4" s="1"/>
      <c r="D4" s="1"/>
      <c r="E4" s="1"/>
      <c r="F4" s="1"/>
      <c r="G4" s="1"/>
      <c r="H4" s="1"/>
      <c r="I4" s="1"/>
      <c r="J4" s="1"/>
      <c r="K4" s="1"/>
      <c r="L4" s="1"/>
      <c r="M4" s="1"/>
      <c r="N4" s="6"/>
    </row>
    <row r="5" spans="1:14" ht="15.75" x14ac:dyDescent="0.25">
      <c r="A5" s="1"/>
      <c r="B5" s="1"/>
      <c r="C5" s="1"/>
      <c r="D5" s="1"/>
      <c r="E5" s="1" t="s">
        <v>151</v>
      </c>
      <c r="F5" s="1"/>
      <c r="G5" s="1" t="s">
        <v>151</v>
      </c>
      <c r="H5" s="1"/>
      <c r="I5" s="1" t="s">
        <v>151</v>
      </c>
      <c r="J5" s="1"/>
      <c r="K5" s="1"/>
      <c r="L5" s="1"/>
      <c r="M5" s="1"/>
      <c r="N5" s="6"/>
    </row>
    <row r="6" spans="1:14" ht="15.75" x14ac:dyDescent="0.25">
      <c r="A6" s="1" t="s">
        <v>145</v>
      </c>
      <c r="B6" s="1"/>
      <c r="C6" s="1"/>
      <c r="D6" s="1"/>
      <c r="E6" s="18">
        <v>1024</v>
      </c>
      <c r="F6" s="1"/>
      <c r="G6" s="18">
        <v>1071</v>
      </c>
      <c r="H6" s="1"/>
      <c r="I6" s="1">
        <v>47</v>
      </c>
      <c r="J6" s="1"/>
      <c r="K6" s="1"/>
      <c r="L6" s="1">
        <f>E6*N3</f>
        <v>1152</v>
      </c>
      <c r="M6" s="1"/>
      <c r="N6" s="6"/>
    </row>
    <row r="7" spans="1:14" ht="15.75" x14ac:dyDescent="0.25">
      <c r="A7" s="1" t="s">
        <v>146</v>
      </c>
      <c r="B7" s="1"/>
      <c r="C7" s="1"/>
      <c r="D7" s="1"/>
      <c r="E7" s="1"/>
      <c r="F7" s="1"/>
      <c r="G7" s="1"/>
      <c r="H7" s="1"/>
      <c r="I7" s="1"/>
      <c r="J7" s="1"/>
      <c r="K7" s="1"/>
      <c r="L7" s="1"/>
      <c r="M7" s="1"/>
      <c r="N7" s="6"/>
    </row>
    <row r="8" spans="1:14" ht="15.75" x14ac:dyDescent="0.25">
      <c r="A8" s="1"/>
      <c r="B8" s="1" t="s">
        <v>152</v>
      </c>
      <c r="C8" s="1"/>
      <c r="D8" s="1"/>
      <c r="E8" s="1">
        <v>168</v>
      </c>
      <c r="F8" s="1"/>
      <c r="G8" s="1">
        <v>144</v>
      </c>
      <c r="H8" s="1"/>
      <c r="I8" s="1">
        <v>24</v>
      </c>
      <c r="J8" s="1"/>
      <c r="K8" s="1"/>
      <c r="L8" s="1"/>
      <c r="M8" s="1"/>
      <c r="N8" s="6"/>
    </row>
    <row r="9" spans="1:14" ht="15.75" x14ac:dyDescent="0.25">
      <c r="A9" s="1"/>
      <c r="B9" s="1" t="s">
        <v>153</v>
      </c>
      <c r="C9" s="1"/>
      <c r="D9" s="1"/>
      <c r="E9" s="1">
        <v>240</v>
      </c>
      <c r="F9" s="1"/>
      <c r="G9" s="1">
        <v>288</v>
      </c>
      <c r="H9" s="1"/>
      <c r="I9" s="1">
        <v>-48</v>
      </c>
      <c r="J9" s="1"/>
      <c r="K9" s="1"/>
      <c r="L9" s="1"/>
      <c r="M9" s="1"/>
      <c r="N9" s="6"/>
    </row>
    <row r="10" spans="1:14" ht="15.75" x14ac:dyDescent="0.25">
      <c r="A10" s="1"/>
      <c r="B10" s="1" t="s">
        <v>154</v>
      </c>
      <c r="C10" s="1"/>
      <c r="D10" s="1"/>
      <c r="E10" s="19">
        <v>32</v>
      </c>
      <c r="F10" s="1"/>
      <c r="G10" s="1">
        <v>36</v>
      </c>
      <c r="H10" s="1"/>
      <c r="I10" s="1">
        <v>4</v>
      </c>
      <c r="J10" s="1"/>
      <c r="K10" s="1"/>
      <c r="L10" s="1"/>
      <c r="M10" s="1"/>
      <c r="N10" s="6"/>
    </row>
    <row r="11" spans="1:14" ht="15.75" x14ac:dyDescent="0.25">
      <c r="A11" s="1"/>
      <c r="B11" s="1"/>
      <c r="C11" s="1"/>
      <c r="D11" s="1"/>
      <c r="E11" s="19">
        <v>440</v>
      </c>
      <c r="F11" s="1"/>
      <c r="G11" s="1">
        <v>468</v>
      </c>
      <c r="H11" s="1"/>
      <c r="I11" s="1">
        <v>-28</v>
      </c>
      <c r="J11" s="1"/>
      <c r="K11" s="1"/>
      <c r="L11" s="1"/>
      <c r="M11" s="1"/>
      <c r="N11" s="6"/>
    </row>
    <row r="12" spans="1:14" ht="15.75" x14ac:dyDescent="0.25">
      <c r="A12" s="1" t="s">
        <v>147</v>
      </c>
      <c r="B12" s="1"/>
      <c r="C12" s="1"/>
      <c r="D12" s="1"/>
      <c r="E12" s="1">
        <v>100</v>
      </c>
      <c r="F12" s="1"/>
      <c r="G12" s="1">
        <v>94</v>
      </c>
      <c r="H12" s="1"/>
      <c r="I12" s="1">
        <v>6</v>
      </c>
      <c r="J12" s="1"/>
      <c r="K12" s="1"/>
      <c r="L12" s="1"/>
      <c r="M12" s="1"/>
      <c r="N12" s="6"/>
    </row>
    <row r="13" spans="1:14" ht="15.75" x14ac:dyDescent="0.25">
      <c r="A13" s="1" t="s">
        <v>148</v>
      </c>
      <c r="B13" s="1"/>
      <c r="C13" s="1"/>
      <c r="D13" s="1"/>
      <c r="E13" s="1"/>
      <c r="F13" s="1"/>
      <c r="G13" s="1"/>
      <c r="H13" s="1"/>
      <c r="I13" s="1"/>
      <c r="J13" s="1"/>
      <c r="K13" s="1"/>
      <c r="L13" s="1"/>
      <c r="M13" s="1"/>
      <c r="N13" s="6"/>
    </row>
    <row r="14" spans="1:14" ht="15.75" x14ac:dyDescent="0.25">
      <c r="A14" s="1"/>
      <c r="B14" s="1" t="s">
        <v>155</v>
      </c>
      <c r="C14" s="1"/>
      <c r="D14" s="1"/>
      <c r="E14" s="1">
        <v>72</v>
      </c>
      <c r="F14" s="1"/>
      <c r="G14" s="1">
        <v>83</v>
      </c>
      <c r="H14" s="1"/>
      <c r="I14" s="1">
        <v>-11</v>
      </c>
      <c r="J14" s="1"/>
      <c r="K14" s="1"/>
      <c r="L14" s="1"/>
      <c r="M14" s="1"/>
      <c r="N14" s="6"/>
    </row>
    <row r="15" spans="1:14" ht="15.75" x14ac:dyDescent="0.25">
      <c r="A15" s="1"/>
      <c r="B15" s="1" t="s">
        <v>156</v>
      </c>
      <c r="C15" s="1"/>
      <c r="D15" s="1"/>
      <c r="E15" s="1">
        <v>144</v>
      </c>
      <c r="F15" s="1"/>
      <c r="G15" s="1">
        <v>153</v>
      </c>
      <c r="H15" s="1"/>
      <c r="I15" s="1">
        <v>-9</v>
      </c>
      <c r="J15" s="1"/>
      <c r="K15" s="1"/>
      <c r="L15" s="1"/>
      <c r="M15" s="1"/>
      <c r="N15" s="6"/>
    </row>
    <row r="16" spans="1:14" ht="15.75" x14ac:dyDescent="0.25">
      <c r="A16" s="1" t="s">
        <v>157</v>
      </c>
      <c r="B16" s="1"/>
      <c r="C16" s="1"/>
      <c r="D16" s="1"/>
      <c r="E16" s="1"/>
      <c r="F16" s="1"/>
      <c r="G16" s="1"/>
      <c r="H16" s="1"/>
      <c r="I16" s="1"/>
      <c r="J16" s="1"/>
      <c r="K16" s="1"/>
      <c r="L16" s="1"/>
      <c r="M16" s="1"/>
      <c r="N16" s="6"/>
    </row>
    <row r="17" spans="1:14" ht="15.75" x14ac:dyDescent="0.25">
      <c r="A17" s="1"/>
      <c r="B17" s="1" t="s">
        <v>155</v>
      </c>
      <c r="C17" s="1"/>
      <c r="D17" s="1"/>
      <c r="E17" s="1">
        <v>184</v>
      </c>
      <c r="F17" s="1"/>
      <c r="G17" s="1">
        <v>176</v>
      </c>
      <c r="H17" s="1"/>
      <c r="I17" s="1">
        <v>8</v>
      </c>
      <c r="J17" s="1"/>
      <c r="K17" s="1"/>
      <c r="L17" s="1"/>
      <c r="M17" s="1"/>
      <c r="N17" s="6"/>
    </row>
    <row r="18" spans="1:14" ht="15.75" x14ac:dyDescent="0.25">
      <c r="A18" s="1"/>
      <c r="B18" s="1" t="s">
        <v>158</v>
      </c>
      <c r="C18" s="1"/>
      <c r="D18" s="1"/>
      <c r="E18" s="19">
        <v>48</v>
      </c>
      <c r="F18" s="1"/>
      <c r="G18" s="19">
        <v>54</v>
      </c>
      <c r="H18" s="1"/>
      <c r="I18" s="1">
        <v>-6</v>
      </c>
      <c r="J18" s="1"/>
      <c r="K18" s="1"/>
      <c r="L18" s="1"/>
      <c r="M18" s="1"/>
      <c r="N18" s="6"/>
    </row>
    <row r="19" spans="1:14" ht="15.75" x14ac:dyDescent="0.25">
      <c r="A19" s="1"/>
      <c r="B19" s="1"/>
      <c r="C19" s="1"/>
      <c r="D19" s="1"/>
      <c r="E19" s="19">
        <v>548</v>
      </c>
      <c r="F19" s="1"/>
      <c r="G19" s="19">
        <v>560</v>
      </c>
      <c r="H19" s="1"/>
      <c r="I19" s="1">
        <v>-12</v>
      </c>
      <c r="J19" s="1"/>
      <c r="K19" s="1"/>
      <c r="L19" s="1"/>
      <c r="M19" s="1"/>
      <c r="N19" s="6"/>
    </row>
    <row r="20" spans="1:14" ht="15.75" x14ac:dyDescent="0.25">
      <c r="A20" s="1" t="s">
        <v>149</v>
      </c>
      <c r="B20" s="1"/>
      <c r="C20" s="1"/>
      <c r="D20" s="1"/>
      <c r="E20" s="19">
        <v>36</v>
      </c>
      <c r="F20" s="1"/>
      <c r="G20" s="19">
        <v>43</v>
      </c>
      <c r="H20" s="1"/>
      <c r="I20" s="1">
        <v>7</v>
      </c>
      <c r="J20" s="1"/>
      <c r="K20" s="1"/>
      <c r="L20" s="1"/>
      <c r="M20" s="1"/>
      <c r="N20" s="6"/>
    </row>
    <row r="21" spans="1:14" ht="15.75" x14ac:dyDescent="0.25">
      <c r="A21" s="1"/>
      <c r="B21" s="1"/>
      <c r="C21" s="1"/>
      <c r="D21" s="1"/>
      <c r="E21" s="1"/>
      <c r="F21" s="1"/>
      <c r="G21" s="1"/>
      <c r="H21" s="1"/>
      <c r="I21" s="1"/>
      <c r="J21" s="1"/>
      <c r="K21" s="1"/>
      <c r="L21" s="1"/>
      <c r="M21" s="1"/>
      <c r="N21" s="6"/>
    </row>
    <row r="22" spans="1:14" ht="15.75" x14ac:dyDescent="0.25">
      <c r="A22" s="1"/>
      <c r="B22" s="1"/>
      <c r="C22" s="1"/>
      <c r="D22" s="1"/>
      <c r="E22" s="1"/>
      <c r="F22" s="1"/>
      <c r="G22" s="1"/>
      <c r="H22" s="1"/>
      <c r="I22" s="1"/>
      <c r="J22" s="1"/>
      <c r="K22" s="1"/>
      <c r="L22" s="1"/>
      <c r="M22" s="1"/>
      <c r="N22" s="6"/>
    </row>
    <row r="23" spans="1:14" ht="15.75" x14ac:dyDescent="0.25">
      <c r="A23" s="1" t="s">
        <v>40</v>
      </c>
      <c r="B23" s="1"/>
      <c r="C23" s="1"/>
      <c r="D23" s="1"/>
      <c r="E23" s="1"/>
      <c r="F23" s="1"/>
      <c r="G23" s="1"/>
      <c r="H23" s="1"/>
      <c r="I23" s="1"/>
      <c r="J23" s="1"/>
      <c r="K23" s="1"/>
      <c r="L23" s="1"/>
      <c r="M23" s="1"/>
      <c r="N23" s="6"/>
    </row>
    <row r="24" spans="1:14" ht="15.75" x14ac:dyDescent="0.25">
      <c r="A24" s="1" t="s">
        <v>159</v>
      </c>
      <c r="B24" s="1"/>
      <c r="C24" s="1"/>
      <c r="D24" s="1"/>
      <c r="E24" s="1"/>
      <c r="F24" s="1"/>
      <c r="G24" s="1"/>
      <c r="H24" s="1"/>
      <c r="I24" s="1"/>
      <c r="J24" s="1"/>
      <c r="K24" s="1"/>
      <c r="L24" s="1"/>
      <c r="M24" s="1"/>
      <c r="N24" s="6"/>
    </row>
    <row r="25" spans="1:14" ht="15.75" x14ac:dyDescent="0.25">
      <c r="A25" s="1" t="s">
        <v>160</v>
      </c>
      <c r="B25" s="1"/>
      <c r="C25" s="1"/>
      <c r="D25" s="1"/>
      <c r="E25" s="1"/>
      <c r="F25" s="1"/>
      <c r="G25" s="1"/>
      <c r="H25" s="1"/>
      <c r="I25" s="1"/>
      <c r="J25" s="1"/>
      <c r="K25" s="1"/>
      <c r="L25" s="1"/>
      <c r="M25" s="1"/>
      <c r="N25" s="6"/>
    </row>
    <row r="26" spans="1:14" ht="15.75" x14ac:dyDescent="0.25">
      <c r="A26" s="1"/>
      <c r="B26" s="1"/>
      <c r="C26" s="1"/>
      <c r="D26" s="1"/>
      <c r="E26" s="1"/>
      <c r="F26" s="1"/>
      <c r="G26" s="1"/>
      <c r="H26" s="1"/>
      <c r="I26" s="1"/>
      <c r="J26" s="1"/>
      <c r="K26" s="1"/>
      <c r="L26" s="1"/>
      <c r="M26" s="1"/>
      <c r="N26" s="6"/>
    </row>
    <row r="81" spans="1:1" x14ac:dyDescent="0.25">
      <c r="A81" s="17"/>
    </row>
    <row r="82" spans="1:1" x14ac:dyDescent="0.25">
      <c r="A82" s="17"/>
    </row>
    <row r="83" spans="1:1" x14ac:dyDescent="0.25">
      <c r="A83" s="1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96"/>
  <sheetViews>
    <sheetView tabSelected="1" topLeftCell="B1" workbookViewId="0">
      <selection activeCell="O33" sqref="O33"/>
    </sheetView>
  </sheetViews>
  <sheetFormatPr defaultRowHeight="15" x14ac:dyDescent="0.25"/>
  <cols>
    <col min="4" max="4" width="11.5703125" customWidth="1"/>
    <col min="12" max="12" width="11.7109375" bestFit="1" customWidth="1"/>
    <col min="19" max="19" width="4.5703125" customWidth="1"/>
    <col min="20" max="20" width="10.42578125" customWidth="1"/>
  </cols>
  <sheetData>
    <row r="2" spans="1:22" ht="15.75" x14ac:dyDescent="0.25">
      <c r="A2" s="1" t="s">
        <v>44</v>
      </c>
      <c r="B2" s="1"/>
      <c r="C2" s="1"/>
      <c r="D2" s="1"/>
      <c r="E2" s="1"/>
      <c r="F2" s="1"/>
      <c r="G2" s="1"/>
      <c r="H2" s="1"/>
      <c r="I2" s="1"/>
      <c r="J2" s="1"/>
      <c r="K2" s="1"/>
      <c r="L2" s="1"/>
      <c r="M2" s="1"/>
      <c r="N2" s="1"/>
      <c r="O2" s="1"/>
      <c r="P2" s="1"/>
      <c r="Q2" s="1"/>
    </row>
    <row r="3" spans="1:22" ht="15.75" x14ac:dyDescent="0.25">
      <c r="A3" s="1" t="s">
        <v>45</v>
      </c>
      <c r="B3" s="1"/>
      <c r="C3" s="1"/>
      <c r="D3" s="1"/>
      <c r="E3" s="1"/>
      <c r="F3" s="1"/>
      <c r="G3" s="1"/>
      <c r="H3" s="1"/>
      <c r="I3" s="1"/>
      <c r="J3" s="1"/>
      <c r="K3" s="1"/>
      <c r="L3" s="1"/>
      <c r="M3" s="1"/>
      <c r="N3" s="1"/>
      <c r="O3" s="22" t="s">
        <v>167</v>
      </c>
      <c r="P3" s="22"/>
      <c r="Q3" s="22"/>
      <c r="R3" s="22"/>
      <c r="S3" s="22"/>
      <c r="T3" s="22"/>
      <c r="U3" s="22"/>
    </row>
    <row r="4" spans="1:22" ht="15.75" x14ac:dyDescent="0.25">
      <c r="A4" s="1"/>
      <c r="B4" s="1"/>
      <c r="C4" s="1"/>
      <c r="D4" s="1"/>
      <c r="E4" s="1"/>
      <c r="F4" s="1"/>
      <c r="G4" s="1"/>
      <c r="H4" s="1"/>
      <c r="I4" s="3" t="s">
        <v>172</v>
      </c>
      <c r="J4" s="1"/>
      <c r="K4" s="1"/>
      <c r="L4" s="1"/>
      <c r="M4" s="1"/>
      <c r="N4" s="1"/>
      <c r="O4" s="3" t="s">
        <v>168</v>
      </c>
      <c r="P4" s="1"/>
      <c r="Q4" s="1"/>
    </row>
    <row r="5" spans="1:22" ht="15.75" x14ac:dyDescent="0.25">
      <c r="A5" s="1" t="s">
        <v>46</v>
      </c>
      <c r="B5" s="1"/>
      <c r="C5" s="1"/>
      <c r="D5" s="1"/>
      <c r="E5" s="1"/>
      <c r="F5" s="1"/>
      <c r="G5" s="1"/>
      <c r="H5" s="1"/>
      <c r="I5" s="1" t="s">
        <v>173</v>
      </c>
      <c r="J5" s="1"/>
      <c r="K5" s="1"/>
      <c r="L5" s="1"/>
      <c r="M5" s="1"/>
      <c r="N5" s="1"/>
      <c r="O5" s="23" t="s">
        <v>169</v>
      </c>
      <c r="P5" s="23"/>
      <c r="Q5" s="23"/>
      <c r="R5" s="23"/>
      <c r="S5" s="23"/>
      <c r="T5" s="23"/>
      <c r="U5" s="23"/>
    </row>
    <row r="6" spans="1:22" ht="15.75" x14ac:dyDescent="0.25">
      <c r="A6" s="1" t="s">
        <v>165</v>
      </c>
      <c r="B6" s="1"/>
      <c r="C6" s="1"/>
      <c r="D6" s="1"/>
      <c r="E6" s="1"/>
      <c r="F6" s="1"/>
      <c r="G6" s="1"/>
      <c r="H6" s="1"/>
      <c r="I6" s="1" t="s">
        <v>174</v>
      </c>
      <c r="J6" s="1"/>
      <c r="K6" s="1"/>
      <c r="L6" s="1">
        <v>260</v>
      </c>
      <c r="M6" s="1"/>
      <c r="N6" s="1"/>
      <c r="O6" s="3" t="s">
        <v>170</v>
      </c>
      <c r="P6" s="1"/>
      <c r="Q6" s="1"/>
      <c r="S6" s="1"/>
      <c r="T6" s="3" t="s">
        <v>171</v>
      </c>
      <c r="U6" s="3" t="s">
        <v>171</v>
      </c>
      <c r="V6" s="1"/>
    </row>
    <row r="7" spans="1:22" ht="15.75" x14ac:dyDescent="0.25">
      <c r="A7" s="1"/>
      <c r="B7" s="1"/>
      <c r="C7" s="1"/>
      <c r="D7" s="1"/>
      <c r="E7" s="1"/>
      <c r="F7" s="1"/>
      <c r="G7" s="1"/>
      <c r="H7" s="1"/>
      <c r="I7" s="1" t="s">
        <v>175</v>
      </c>
      <c r="J7" s="1"/>
      <c r="K7" s="1"/>
      <c r="L7" s="1">
        <f>-(750-370)</f>
        <v>-380</v>
      </c>
      <c r="M7" s="1"/>
      <c r="N7" s="1"/>
      <c r="O7" s="1" t="str">
        <f>A17</f>
        <v>Profit before tax</v>
      </c>
      <c r="P7" s="1"/>
      <c r="Q7" s="1"/>
      <c r="S7" s="1"/>
      <c r="T7" s="9"/>
      <c r="U7" s="9">
        <f>E17</f>
        <v>3440</v>
      </c>
      <c r="V7" s="1"/>
    </row>
    <row r="8" spans="1:22" ht="15.75" x14ac:dyDescent="0.25">
      <c r="A8" s="1"/>
      <c r="B8" s="1"/>
      <c r="C8" s="1"/>
      <c r="D8" s="1"/>
      <c r="E8" s="1" t="s">
        <v>47</v>
      </c>
      <c r="F8" s="1"/>
      <c r="G8" s="1"/>
      <c r="H8" s="1"/>
      <c r="I8" s="1" t="s">
        <v>176</v>
      </c>
      <c r="J8" s="1"/>
      <c r="K8" s="1"/>
      <c r="L8" s="1">
        <f>SUM(L6:L7)</f>
        <v>-120</v>
      </c>
      <c r="M8" s="1"/>
      <c r="N8" s="1"/>
      <c r="O8" s="1" t="str">
        <f>A16</f>
        <v>Finance Cost</v>
      </c>
      <c r="P8" s="1"/>
      <c r="Q8" s="1"/>
      <c r="S8" s="1"/>
      <c r="T8" s="9">
        <f>-E16</f>
        <v>280</v>
      </c>
      <c r="U8" s="9"/>
      <c r="V8" s="1"/>
    </row>
    <row r="9" spans="1:22" ht="15.75" x14ac:dyDescent="0.25">
      <c r="A9" s="1" t="s">
        <v>48</v>
      </c>
      <c r="B9" s="1"/>
      <c r="C9" s="1"/>
      <c r="D9" s="1"/>
      <c r="E9" s="1">
        <v>18590</v>
      </c>
      <c r="F9" s="1"/>
      <c r="G9" s="1"/>
      <c r="H9" s="1"/>
      <c r="I9" s="3" t="s">
        <v>179</v>
      </c>
      <c r="J9" s="1"/>
      <c r="K9" s="1"/>
      <c r="L9" s="1"/>
      <c r="M9" s="1"/>
      <c r="N9" s="1"/>
      <c r="O9" s="1" t="str">
        <f>A15</f>
        <v>Fair value gain on short term investments</v>
      </c>
      <c r="P9" s="1"/>
      <c r="Q9" s="1"/>
      <c r="S9" s="1"/>
      <c r="T9" s="9">
        <f>-E15</f>
        <v>-170</v>
      </c>
      <c r="U9" s="9"/>
      <c r="V9" s="1"/>
    </row>
    <row r="10" spans="1:22" ht="15.75" x14ac:dyDescent="0.25">
      <c r="A10" s="1" t="s">
        <v>49</v>
      </c>
      <c r="B10" s="1"/>
      <c r="C10" s="1"/>
      <c r="D10" s="1"/>
      <c r="E10" s="1">
        <v>-11250</v>
      </c>
      <c r="F10" s="1"/>
      <c r="G10" s="1"/>
      <c r="H10" s="1" t="s">
        <v>180</v>
      </c>
      <c r="I10" s="1"/>
      <c r="J10" s="1"/>
      <c r="K10" s="1"/>
      <c r="L10" s="1">
        <f>100*0.75*2/3*30</f>
        <v>1500</v>
      </c>
      <c r="M10" s="1"/>
      <c r="N10" s="1"/>
      <c r="O10" s="1" t="s">
        <v>177</v>
      </c>
      <c r="P10" s="1"/>
      <c r="Q10" s="1"/>
      <c r="S10" s="1"/>
      <c r="T10" s="9">
        <f>-L8</f>
        <v>120</v>
      </c>
      <c r="U10" s="9"/>
      <c r="V10" s="1"/>
    </row>
    <row r="11" spans="1:22" ht="15.75" x14ac:dyDescent="0.25">
      <c r="A11" s="1" t="s">
        <v>50</v>
      </c>
      <c r="B11" s="1"/>
      <c r="C11" s="1"/>
      <c r="D11" s="1"/>
      <c r="E11" s="1">
        <v>7340</v>
      </c>
      <c r="F11" s="1"/>
      <c r="G11" s="1"/>
      <c r="H11" s="1" t="s">
        <v>181</v>
      </c>
      <c r="I11" s="1"/>
      <c r="J11" s="1"/>
      <c r="K11" s="1"/>
      <c r="L11" s="26">
        <f>-PV(J65,J66,J64)</f>
        <v>750.00000000000057</v>
      </c>
      <c r="M11" s="1"/>
      <c r="N11" s="1"/>
      <c r="O11" s="1" t="s">
        <v>178</v>
      </c>
      <c r="P11" s="1"/>
      <c r="Q11" s="1"/>
      <c r="S11" s="1"/>
      <c r="T11" s="9">
        <f>(-C65+370)-(-E65-E79)</f>
        <v>1720</v>
      </c>
      <c r="U11" s="9"/>
      <c r="V11" s="1"/>
    </row>
    <row r="12" spans="1:22" ht="15.75" x14ac:dyDescent="0.25">
      <c r="A12" s="1" t="s">
        <v>51</v>
      </c>
      <c r="B12" s="1"/>
      <c r="C12" s="1"/>
      <c r="D12" s="1"/>
      <c r="E12" s="1">
        <v>-1330</v>
      </c>
      <c r="F12" s="1"/>
      <c r="G12" s="1"/>
      <c r="H12" s="1" t="s">
        <v>185</v>
      </c>
      <c r="I12" s="1"/>
      <c r="J12" s="1"/>
      <c r="K12" s="1"/>
      <c r="L12" s="1">
        <f>100*0.25*20</f>
        <v>500</v>
      </c>
      <c r="M12" s="1"/>
      <c r="N12" s="1"/>
      <c r="O12" s="1" t="s">
        <v>188</v>
      </c>
      <c r="P12" s="1"/>
      <c r="Q12" s="1"/>
      <c r="S12" s="1"/>
      <c r="T12" s="9">
        <f>F31+L15-E31</f>
        <v>190</v>
      </c>
      <c r="U12" s="9">
        <f>SUM(T8:T12)</f>
        <v>2140</v>
      </c>
      <c r="V12" s="1"/>
    </row>
    <row r="13" spans="1:22" ht="15.75" x14ac:dyDescent="0.25">
      <c r="A13" s="1" t="s">
        <v>52</v>
      </c>
      <c r="B13" s="1"/>
      <c r="C13" s="1"/>
      <c r="D13" s="1"/>
      <c r="E13" s="1">
        <v>-2460</v>
      </c>
      <c r="F13" s="1"/>
      <c r="G13" s="1"/>
      <c r="H13" s="1"/>
      <c r="I13" s="1"/>
      <c r="J13" s="1"/>
      <c r="K13" s="1"/>
      <c r="L13" s="27">
        <f>SUM(L10:L12)</f>
        <v>2750.0000000000005</v>
      </c>
      <c r="M13" s="1"/>
      <c r="N13" s="1"/>
      <c r="O13" s="1" t="s">
        <v>189</v>
      </c>
      <c r="P13" s="1"/>
      <c r="Q13" s="1"/>
      <c r="S13" s="1"/>
      <c r="T13" s="9"/>
      <c r="U13" s="28">
        <f>SUM(U7:U12)</f>
        <v>5580</v>
      </c>
      <c r="V13" s="1"/>
    </row>
    <row r="14" spans="1:22" ht="15.75" x14ac:dyDescent="0.25">
      <c r="A14" s="1" t="s">
        <v>53</v>
      </c>
      <c r="B14" s="1"/>
      <c r="C14" s="1"/>
      <c r="D14" s="1"/>
      <c r="E14" s="2">
        <v>3550</v>
      </c>
      <c r="F14" s="1"/>
      <c r="G14" s="1"/>
      <c r="H14" s="1" t="s">
        <v>186</v>
      </c>
      <c r="I14" s="1"/>
      <c r="J14" s="1"/>
      <c r="K14" s="1"/>
      <c r="L14" s="1">
        <f>-E85</f>
        <v>-2500</v>
      </c>
      <c r="M14" s="1"/>
      <c r="N14" s="1"/>
      <c r="O14" s="3" t="s">
        <v>190</v>
      </c>
      <c r="P14" s="1"/>
      <c r="Q14" s="1"/>
      <c r="S14" s="1"/>
      <c r="T14" s="9"/>
      <c r="U14" s="9"/>
      <c r="V14" s="1"/>
    </row>
    <row r="15" spans="1:22" ht="16.5" thickBot="1" x14ac:dyDescent="0.3">
      <c r="A15" s="1" t="s">
        <v>54</v>
      </c>
      <c r="B15" s="1"/>
      <c r="C15" s="1"/>
      <c r="D15" s="1"/>
      <c r="E15" s="1">
        <v>170</v>
      </c>
      <c r="F15" s="1"/>
      <c r="G15" s="1"/>
      <c r="H15" s="1" t="s">
        <v>187</v>
      </c>
      <c r="I15" s="1"/>
      <c r="J15" s="1"/>
      <c r="K15" s="1"/>
      <c r="L15" s="4">
        <f>SUM(L13:L14)</f>
        <v>250.00000000000045</v>
      </c>
      <c r="M15" s="1"/>
      <c r="N15" s="1"/>
      <c r="O15" s="1" t="str">
        <f>A34</f>
        <v>Inventory</v>
      </c>
      <c r="P15" s="1"/>
      <c r="Q15" s="1"/>
      <c r="S15" s="1"/>
      <c r="T15" s="9">
        <f>F34+E80-E34</f>
        <v>-420</v>
      </c>
      <c r="U15" s="9"/>
      <c r="V15" s="1"/>
    </row>
    <row r="16" spans="1:22" ht="15.75" x14ac:dyDescent="0.25">
      <c r="A16" s="1" t="s">
        <v>55</v>
      </c>
      <c r="B16" s="1"/>
      <c r="C16" s="1"/>
      <c r="D16" s="1"/>
      <c r="E16" s="1">
        <v>-280</v>
      </c>
      <c r="F16" s="1"/>
      <c r="G16" s="1"/>
      <c r="H16" s="1"/>
      <c r="I16" s="1"/>
      <c r="J16" s="1"/>
      <c r="K16" s="1"/>
      <c r="L16" s="1"/>
      <c r="M16" s="1"/>
      <c r="N16" s="1"/>
      <c r="O16" s="1" t="str">
        <f>A35</f>
        <v>Trate receivable</v>
      </c>
      <c r="P16" s="1"/>
      <c r="Q16" s="1"/>
      <c r="S16" s="1"/>
      <c r="T16" s="9">
        <f>F35+E81-E35</f>
        <v>240</v>
      </c>
      <c r="U16" s="9"/>
      <c r="V16" s="1"/>
    </row>
    <row r="17" spans="1:22" ht="15.75" x14ac:dyDescent="0.25">
      <c r="A17" s="1" t="s">
        <v>56</v>
      </c>
      <c r="B17" s="1"/>
      <c r="C17" s="1"/>
      <c r="D17" s="1"/>
      <c r="E17" s="2">
        <v>3440</v>
      </c>
      <c r="F17" s="1"/>
      <c r="G17" s="1"/>
      <c r="H17" s="1"/>
      <c r="I17" s="1"/>
      <c r="J17" s="1"/>
      <c r="K17" s="1"/>
      <c r="L17" s="1"/>
      <c r="M17" s="1"/>
      <c r="N17" s="1"/>
      <c r="O17" s="1" t="str">
        <f>A56</f>
        <v>Trade payables</v>
      </c>
      <c r="P17" s="1"/>
      <c r="Q17" s="1"/>
      <c r="S17" s="1"/>
      <c r="T17" s="9">
        <f>E56-F56+E84</f>
        <v>-160</v>
      </c>
      <c r="U17" s="9">
        <f>SUM(T15:T17)</f>
        <v>-340</v>
      </c>
      <c r="V17" s="1"/>
    </row>
    <row r="18" spans="1:22" ht="15.75" x14ac:dyDescent="0.25">
      <c r="A18" s="1" t="s">
        <v>57</v>
      </c>
      <c r="B18" s="1"/>
      <c r="C18" s="1"/>
      <c r="D18" s="1"/>
      <c r="E18" s="1">
        <v>-880</v>
      </c>
      <c r="F18" s="1"/>
      <c r="G18" s="1"/>
      <c r="H18" s="1"/>
      <c r="I18" s="1"/>
      <c r="J18" s="1"/>
      <c r="K18" s="1"/>
      <c r="L18" s="1"/>
      <c r="M18" s="1"/>
      <c r="N18" s="1"/>
      <c r="O18" s="1" t="s">
        <v>191</v>
      </c>
      <c r="P18" s="1"/>
      <c r="Q18" s="1"/>
      <c r="S18" s="1"/>
      <c r="T18" s="9"/>
      <c r="U18" s="28">
        <f>SUM(U13:U17)</f>
        <v>5240</v>
      </c>
      <c r="V18" s="1"/>
    </row>
    <row r="19" spans="1:22" ht="16.5" thickBot="1" x14ac:dyDescent="0.3">
      <c r="A19" s="1" t="s">
        <v>58</v>
      </c>
      <c r="B19" s="1"/>
      <c r="C19" s="1"/>
      <c r="D19" s="1"/>
      <c r="E19" s="4">
        <v>2560</v>
      </c>
      <c r="F19" s="1"/>
      <c r="G19" s="1"/>
      <c r="H19" s="1"/>
      <c r="I19" s="1"/>
      <c r="J19" s="1"/>
      <c r="K19" s="1"/>
      <c r="L19" s="1"/>
      <c r="M19" s="1"/>
      <c r="N19" s="1"/>
      <c r="O19" s="1"/>
      <c r="P19" s="1" t="s">
        <v>192</v>
      </c>
      <c r="Q19" s="1"/>
      <c r="S19" s="1"/>
      <c r="T19" s="9"/>
      <c r="U19" s="9">
        <f>-(F52+F57-E18)+(E52+E57+E82+E83)</f>
        <v>-415</v>
      </c>
      <c r="V19" s="1"/>
    </row>
    <row r="20" spans="1:22" ht="15.75" x14ac:dyDescent="0.25">
      <c r="A20" s="1"/>
      <c r="B20" s="1"/>
      <c r="C20" s="1"/>
      <c r="D20" s="1"/>
      <c r="E20" s="1"/>
      <c r="F20" s="1"/>
      <c r="G20" s="1"/>
      <c r="H20" s="1"/>
      <c r="I20" s="1"/>
      <c r="J20" s="1"/>
      <c r="K20" s="1"/>
      <c r="L20" s="1"/>
      <c r="M20" s="1"/>
      <c r="N20" s="1"/>
      <c r="O20" s="3" t="s">
        <v>193</v>
      </c>
      <c r="P20" s="1"/>
      <c r="Q20" s="1"/>
      <c r="S20" s="1"/>
      <c r="T20" s="9"/>
      <c r="U20" s="28">
        <f>SUM(U18:U19)</f>
        <v>4825</v>
      </c>
      <c r="V20" s="1"/>
    </row>
    <row r="21" spans="1:22" ht="15.75" x14ac:dyDescent="0.25">
      <c r="A21" s="1" t="s">
        <v>59</v>
      </c>
      <c r="B21" s="1"/>
      <c r="C21" s="1"/>
      <c r="D21" s="1"/>
      <c r="E21" s="1">
        <v>2040</v>
      </c>
      <c r="F21" s="1"/>
      <c r="G21" s="1"/>
      <c r="H21" s="1"/>
      <c r="I21" s="1"/>
      <c r="J21" s="1"/>
      <c r="K21" s="1"/>
      <c r="L21" s="1"/>
      <c r="M21" s="1"/>
      <c r="N21" s="1"/>
      <c r="O21" s="31" t="s">
        <v>194</v>
      </c>
      <c r="P21" s="1"/>
      <c r="Q21" s="1"/>
      <c r="S21" s="1"/>
      <c r="T21" s="9"/>
      <c r="U21" s="9"/>
      <c r="V21" s="1"/>
    </row>
    <row r="22" spans="1:22" ht="15.75" x14ac:dyDescent="0.25">
      <c r="A22" s="1" t="s">
        <v>60</v>
      </c>
      <c r="B22" s="1"/>
      <c r="C22" s="1"/>
      <c r="D22" s="1"/>
      <c r="E22" s="1">
        <v>520</v>
      </c>
      <c r="F22" s="1"/>
      <c r="G22" s="1"/>
      <c r="H22" s="1"/>
      <c r="I22" s="1"/>
      <c r="J22" s="1"/>
      <c r="K22" s="1"/>
      <c r="L22" s="1"/>
      <c r="M22" s="1"/>
      <c r="N22" s="1"/>
      <c r="O22" s="1" t="s">
        <v>195</v>
      </c>
      <c r="P22" s="1"/>
      <c r="Q22" s="1"/>
      <c r="S22" s="1"/>
      <c r="T22" s="9">
        <f>L6</f>
        <v>260</v>
      </c>
      <c r="U22" s="9"/>
      <c r="V22" s="1"/>
    </row>
    <row r="23" spans="1:22" ht="15.75" x14ac:dyDescent="0.25">
      <c r="A23" s="1"/>
      <c r="B23" s="1"/>
      <c r="C23" s="1"/>
      <c r="D23" s="1"/>
      <c r="E23" s="5">
        <v>2560</v>
      </c>
      <c r="F23" s="1"/>
      <c r="G23" s="1"/>
      <c r="H23" s="1"/>
      <c r="I23" s="1"/>
      <c r="J23" s="1"/>
      <c r="K23" s="1"/>
      <c r="L23" s="1"/>
      <c r="M23" s="1"/>
      <c r="N23" s="1"/>
      <c r="O23" s="1" t="str">
        <f>O9</f>
        <v>Fair value gain on short term investments</v>
      </c>
      <c r="P23" s="1"/>
      <c r="Q23" s="1"/>
      <c r="S23" s="1"/>
      <c r="T23" s="9">
        <f>-T9</f>
        <v>170</v>
      </c>
      <c r="U23" s="9"/>
      <c r="V23" s="1"/>
    </row>
    <row r="24" spans="1:22" ht="15.75" x14ac:dyDescent="0.25">
      <c r="A24" s="1"/>
      <c r="B24" s="1"/>
      <c r="C24" s="1"/>
      <c r="D24" s="1"/>
      <c r="E24" s="1"/>
      <c r="F24" s="1"/>
      <c r="G24" s="1"/>
      <c r="H24" s="1"/>
      <c r="I24" s="1"/>
      <c r="J24" s="1"/>
      <c r="K24" s="1"/>
      <c r="L24" s="1"/>
      <c r="M24" s="1"/>
      <c r="N24" s="1"/>
      <c r="O24" s="1" t="s">
        <v>196</v>
      </c>
      <c r="P24" s="1"/>
      <c r="Q24" s="1"/>
      <c r="S24" s="1"/>
      <c r="T24" s="9">
        <f>E64+E78-750-C64</f>
        <v>-8750</v>
      </c>
      <c r="U24" s="9"/>
      <c r="V24" s="1"/>
    </row>
    <row r="25" spans="1:22" ht="15.75" x14ac:dyDescent="0.25">
      <c r="A25" s="1" t="s">
        <v>46</v>
      </c>
      <c r="B25" s="1"/>
      <c r="C25" s="1"/>
      <c r="D25" s="1"/>
      <c r="E25" s="1"/>
      <c r="F25" s="1"/>
      <c r="G25" s="1"/>
      <c r="H25" s="1"/>
      <c r="I25" s="1"/>
      <c r="J25" s="1"/>
      <c r="K25" s="1"/>
      <c r="L25" s="1"/>
      <c r="M25" s="1"/>
      <c r="N25" s="1"/>
      <c r="O25" s="3" t="s">
        <v>197</v>
      </c>
      <c r="P25" s="1"/>
      <c r="Q25" s="1"/>
      <c r="S25" s="1"/>
      <c r="T25" s="9"/>
      <c r="U25" s="29">
        <f>SUM(T22:T24)</f>
        <v>-8320</v>
      </c>
      <c r="V25" s="1"/>
    </row>
    <row r="26" spans="1:22" ht="15.75" x14ac:dyDescent="0.25">
      <c r="A26" s="1" t="s">
        <v>61</v>
      </c>
      <c r="B26" s="1"/>
      <c r="C26" s="1"/>
      <c r="D26" s="1"/>
      <c r="E26" s="1"/>
      <c r="F26" s="1"/>
      <c r="G26" s="1"/>
      <c r="H26" s="1"/>
      <c r="I26" s="1"/>
      <c r="J26" s="1"/>
      <c r="K26" s="1"/>
      <c r="L26" s="1"/>
      <c r="M26" s="1"/>
      <c r="N26" s="1"/>
      <c r="O26" s="3" t="s">
        <v>198</v>
      </c>
      <c r="P26" s="1"/>
      <c r="Q26" s="1"/>
      <c r="S26" s="1"/>
      <c r="T26" s="9"/>
      <c r="U26" s="9"/>
      <c r="V26" s="1"/>
    </row>
    <row r="27" spans="1:22" ht="15.75" x14ac:dyDescent="0.25">
      <c r="A27" s="1"/>
      <c r="B27" s="1"/>
      <c r="C27" s="1"/>
      <c r="D27" s="1"/>
      <c r="E27" s="1" t="s">
        <v>62</v>
      </c>
      <c r="F27" s="1" t="s">
        <v>63</v>
      </c>
      <c r="G27" s="1"/>
      <c r="H27" s="1"/>
      <c r="I27" s="1"/>
      <c r="J27" s="1"/>
      <c r="K27" s="1"/>
      <c r="L27" s="1"/>
      <c r="M27" s="1"/>
      <c r="N27" s="1"/>
      <c r="O27" s="1" t="str">
        <f>A42</f>
        <v>Ordinary share capitn (Sh.10 per Value )</v>
      </c>
      <c r="P27" s="1"/>
      <c r="Q27" s="1"/>
      <c r="S27" s="1"/>
      <c r="T27" s="9">
        <f>E42-(F42+L10)</f>
        <v>3500</v>
      </c>
      <c r="U27" s="9"/>
      <c r="V27" s="1"/>
    </row>
    <row r="28" spans="1:22" ht="15.75" x14ac:dyDescent="0.25">
      <c r="A28" s="3" t="s">
        <v>64</v>
      </c>
      <c r="B28" s="1"/>
      <c r="C28" s="1"/>
      <c r="D28" s="1"/>
      <c r="E28" s="1"/>
      <c r="F28" s="1"/>
      <c r="G28" s="1"/>
      <c r="H28" s="1"/>
      <c r="I28" s="1"/>
      <c r="J28" s="1"/>
      <c r="K28" s="1"/>
      <c r="L28" s="1"/>
      <c r="M28" s="1"/>
      <c r="N28" s="1"/>
      <c r="O28" s="1" t="str">
        <f>A43</f>
        <v>Share Premium</v>
      </c>
      <c r="P28" s="1"/>
      <c r="Q28" s="1"/>
      <c r="S28" s="1"/>
      <c r="T28" s="9">
        <f>E43-F43</f>
        <v>1500</v>
      </c>
      <c r="U28" s="9"/>
      <c r="V28" s="1"/>
    </row>
    <row r="29" spans="1:22" ht="15.75" x14ac:dyDescent="0.25">
      <c r="A29" s="3" t="s">
        <v>17</v>
      </c>
      <c r="B29" s="1"/>
      <c r="C29" s="1"/>
      <c r="D29" s="1"/>
      <c r="E29" s="1"/>
      <c r="F29" s="1"/>
      <c r="G29" s="1"/>
      <c r="H29" s="1"/>
      <c r="I29" s="1"/>
      <c r="J29" s="1"/>
      <c r="K29" s="1"/>
      <c r="L29" s="1"/>
      <c r="M29" s="1"/>
      <c r="N29" s="1"/>
      <c r="O29" s="1" t="s">
        <v>199</v>
      </c>
      <c r="P29" s="1"/>
      <c r="Q29" s="1" t="s">
        <v>200</v>
      </c>
      <c r="S29" s="1"/>
      <c r="T29" s="9">
        <f>E44-(F44+E21)</f>
        <v>-370</v>
      </c>
      <c r="U29" s="9"/>
      <c r="V29" s="1"/>
    </row>
    <row r="30" spans="1:22" ht="15.75" x14ac:dyDescent="0.25">
      <c r="A30" s="1" t="s">
        <v>109</v>
      </c>
      <c r="B30" s="1"/>
      <c r="C30" s="1"/>
      <c r="D30" s="1"/>
      <c r="E30" s="1">
        <v>23500</v>
      </c>
      <c r="F30" s="1">
        <v>14750</v>
      </c>
      <c r="G30" s="1"/>
      <c r="H30" s="1"/>
      <c r="I30" s="1"/>
      <c r="J30" s="1"/>
      <c r="K30" s="1"/>
      <c r="L30" s="1"/>
      <c r="M30" s="1"/>
      <c r="N30" s="1"/>
      <c r="O30" s="1"/>
      <c r="P30" s="1"/>
      <c r="Q30" s="1" t="s">
        <v>201</v>
      </c>
      <c r="S30" s="1"/>
      <c r="T30" s="9">
        <f>E46-(F46+E22+E85*0.25)</f>
        <v>-385</v>
      </c>
      <c r="U30" s="9"/>
      <c r="V30" s="1"/>
    </row>
    <row r="31" spans="1:22" ht="15.75" x14ac:dyDescent="0.25">
      <c r="A31" s="1" t="s">
        <v>110</v>
      </c>
      <c r="B31" s="1"/>
      <c r="C31" s="1"/>
      <c r="D31" s="1"/>
      <c r="E31" s="1">
        <v>4200</v>
      </c>
      <c r="F31" s="1">
        <v>4140</v>
      </c>
      <c r="G31" s="1"/>
      <c r="H31" s="1"/>
      <c r="I31" s="1"/>
      <c r="J31" s="1"/>
      <c r="K31" s="1"/>
      <c r="L31" s="1"/>
      <c r="M31" s="1"/>
      <c r="N31" s="1"/>
      <c r="O31" s="1" t="str">
        <f>A51</f>
        <v>Bank Loans</v>
      </c>
      <c r="P31" s="1"/>
      <c r="Q31" s="1"/>
      <c r="S31" s="1"/>
      <c r="T31" s="9">
        <f>E51-F51</f>
        <v>-400</v>
      </c>
      <c r="U31" s="9"/>
      <c r="V31" s="1"/>
    </row>
    <row r="32" spans="1:22" ht="15.75" x14ac:dyDescent="0.25">
      <c r="A32" s="1"/>
      <c r="B32" s="1"/>
      <c r="C32" s="1"/>
      <c r="D32" s="1"/>
      <c r="E32" s="2">
        <v>27700</v>
      </c>
      <c r="F32" s="2">
        <v>18890</v>
      </c>
      <c r="G32" s="1"/>
      <c r="H32" s="1"/>
      <c r="I32" s="1"/>
      <c r="J32" s="1"/>
      <c r="K32" s="1"/>
      <c r="L32" s="1"/>
      <c r="M32" s="1"/>
      <c r="N32" s="1"/>
      <c r="O32" s="1" t="str">
        <f>A16</f>
        <v>Finance Cost</v>
      </c>
      <c r="P32" s="1"/>
      <c r="Q32" s="1"/>
      <c r="S32" s="1"/>
      <c r="T32" s="9">
        <f>E16</f>
        <v>-280</v>
      </c>
      <c r="U32" s="9"/>
      <c r="V32" s="1"/>
    </row>
    <row r="33" spans="1:22" ht="15.75" x14ac:dyDescent="0.25">
      <c r="A33" s="3" t="s">
        <v>65</v>
      </c>
      <c r="B33" s="1"/>
      <c r="C33" s="1"/>
      <c r="D33" s="1"/>
      <c r="E33" s="1"/>
      <c r="F33" s="1"/>
      <c r="G33" s="1"/>
      <c r="H33" s="1"/>
      <c r="I33" s="1"/>
      <c r="J33" s="1"/>
      <c r="K33" s="1"/>
      <c r="L33" s="1"/>
      <c r="M33" s="1"/>
      <c r="N33" s="1"/>
      <c r="O33" s="3" t="s">
        <v>202</v>
      </c>
      <c r="P33" s="1"/>
      <c r="Q33" s="1"/>
      <c r="S33" s="1"/>
      <c r="T33" s="9"/>
      <c r="U33" s="29">
        <f>SUM(T27:T32)</f>
        <v>3565</v>
      </c>
      <c r="V33" s="1"/>
    </row>
    <row r="34" spans="1:22" ht="15.75" x14ac:dyDescent="0.25">
      <c r="A34" s="1" t="s">
        <v>66</v>
      </c>
      <c r="B34" s="1"/>
      <c r="C34" s="1"/>
      <c r="D34" s="1"/>
      <c r="E34" s="1">
        <v>8900</v>
      </c>
      <c r="F34" s="1">
        <v>7660</v>
      </c>
      <c r="G34" s="1"/>
      <c r="H34" s="1"/>
      <c r="I34" s="1"/>
      <c r="J34" s="1"/>
      <c r="K34" s="1"/>
      <c r="L34" s="1"/>
      <c r="M34" s="1"/>
      <c r="N34" s="1"/>
      <c r="O34" s="3" t="s">
        <v>203</v>
      </c>
      <c r="P34" s="1"/>
      <c r="Q34" s="1"/>
      <c r="S34" s="1"/>
      <c r="T34" s="9"/>
      <c r="U34" s="28">
        <f>SUM(U20:U33)</f>
        <v>70</v>
      </c>
      <c r="V34" s="1"/>
    </row>
    <row r="35" spans="1:22" ht="15.75" x14ac:dyDescent="0.25">
      <c r="A35" s="1" t="s">
        <v>67</v>
      </c>
      <c r="B35" s="1"/>
      <c r="C35" s="1"/>
      <c r="D35" s="1"/>
      <c r="E35" s="1">
        <v>7420</v>
      </c>
      <c r="F35" s="1">
        <v>7010</v>
      </c>
      <c r="G35" s="1"/>
      <c r="H35" s="1"/>
      <c r="I35" s="1"/>
      <c r="J35" s="1"/>
      <c r="K35" s="1"/>
      <c r="L35" s="1"/>
      <c r="M35" s="1"/>
      <c r="N35" s="1"/>
      <c r="O35" s="1" t="s">
        <v>204</v>
      </c>
      <c r="P35" s="1"/>
      <c r="Q35" s="1"/>
      <c r="S35" s="1"/>
      <c r="T35" s="9"/>
      <c r="U35" s="9">
        <f>F37</f>
        <v>240</v>
      </c>
      <c r="V35" s="1"/>
    </row>
    <row r="36" spans="1:22" ht="16.5" thickBot="1" x14ac:dyDescent="0.3">
      <c r="A36" s="1" t="s">
        <v>68</v>
      </c>
      <c r="B36" s="1"/>
      <c r="C36" s="1"/>
      <c r="D36" s="1"/>
      <c r="E36" s="1">
        <v>2570</v>
      </c>
      <c r="F36" s="1">
        <v>2400</v>
      </c>
      <c r="G36" s="1"/>
      <c r="H36" s="1"/>
      <c r="I36" s="1"/>
      <c r="J36" s="1"/>
      <c r="K36" s="1"/>
      <c r="L36" s="1"/>
      <c r="M36" s="1"/>
      <c r="N36" s="1"/>
      <c r="O36" s="3" t="s">
        <v>205</v>
      </c>
      <c r="P36" s="1"/>
      <c r="Q36" s="1"/>
      <c r="S36" s="1"/>
      <c r="T36" s="9"/>
      <c r="U36" s="30">
        <f>E37</f>
        <v>310</v>
      </c>
      <c r="V36" s="1"/>
    </row>
    <row r="37" spans="1:22" ht="15.75" x14ac:dyDescent="0.25">
      <c r="A37" s="1" t="s">
        <v>69</v>
      </c>
      <c r="B37" s="1"/>
      <c r="C37" s="1"/>
      <c r="D37" s="1"/>
      <c r="E37" s="1">
        <v>310</v>
      </c>
      <c r="F37" s="1">
        <v>240</v>
      </c>
      <c r="G37" s="1"/>
      <c r="H37" s="1"/>
      <c r="I37" s="1"/>
      <c r="J37" s="1"/>
      <c r="K37" s="1"/>
      <c r="L37" s="1"/>
      <c r="M37" s="1"/>
      <c r="N37" s="1"/>
      <c r="O37" s="1"/>
      <c r="P37" s="1"/>
      <c r="Q37" s="1"/>
      <c r="S37" s="1"/>
      <c r="T37" s="9"/>
      <c r="U37" s="9"/>
      <c r="V37" s="1"/>
    </row>
    <row r="38" spans="1:22" ht="15.75" x14ac:dyDescent="0.25">
      <c r="A38" s="1"/>
      <c r="B38" s="1"/>
      <c r="C38" s="1"/>
      <c r="D38" s="1"/>
      <c r="E38" s="5">
        <v>19200</v>
      </c>
      <c r="F38" s="5">
        <v>17310</v>
      </c>
      <c r="G38" s="1"/>
      <c r="H38" s="1"/>
      <c r="I38" s="1"/>
      <c r="J38" s="1"/>
      <c r="K38" s="1"/>
      <c r="L38" s="1"/>
      <c r="M38" s="1"/>
      <c r="N38" s="1"/>
      <c r="O38" s="1"/>
      <c r="P38" s="1"/>
      <c r="Q38" s="1"/>
      <c r="S38" s="1"/>
      <c r="T38" s="9"/>
      <c r="U38" s="9"/>
      <c r="V38" s="1"/>
    </row>
    <row r="39" spans="1:22" ht="16.5" thickBot="1" x14ac:dyDescent="0.3">
      <c r="A39" s="3" t="s">
        <v>70</v>
      </c>
      <c r="B39" s="1"/>
      <c r="C39" s="1"/>
      <c r="D39" s="1"/>
      <c r="E39" s="4">
        <v>49900</v>
      </c>
      <c r="F39" s="4">
        <v>36200</v>
      </c>
      <c r="G39" s="1"/>
      <c r="H39" s="1"/>
      <c r="I39" s="1"/>
      <c r="J39" s="1"/>
      <c r="K39" s="1"/>
      <c r="L39" s="1"/>
      <c r="M39" s="1"/>
      <c r="N39" s="1"/>
      <c r="O39" s="1"/>
      <c r="P39" s="1"/>
      <c r="Q39" s="1"/>
      <c r="S39" s="1"/>
      <c r="T39" s="9"/>
      <c r="U39" s="9"/>
      <c r="V39" s="1"/>
    </row>
    <row r="40" spans="1:22" ht="15.75" x14ac:dyDescent="0.25">
      <c r="A40" s="1" t="s">
        <v>71</v>
      </c>
      <c r="B40" s="1"/>
      <c r="C40" s="1"/>
      <c r="D40" s="1"/>
      <c r="E40" s="1"/>
      <c r="F40" s="1"/>
      <c r="G40" s="1"/>
      <c r="H40" s="1"/>
      <c r="I40" s="1"/>
      <c r="J40" s="1"/>
      <c r="K40" s="1"/>
      <c r="L40" s="1"/>
      <c r="M40" s="1"/>
      <c r="N40" s="1"/>
      <c r="O40" s="1"/>
      <c r="P40" s="1"/>
      <c r="Q40" s="1"/>
      <c r="S40" s="1"/>
      <c r="T40" s="9"/>
      <c r="U40" s="9"/>
      <c r="V40" s="1"/>
    </row>
    <row r="41" spans="1:22" ht="15.75" x14ac:dyDescent="0.25">
      <c r="A41" s="3" t="s">
        <v>28</v>
      </c>
      <c r="B41" s="1"/>
      <c r="C41" s="1"/>
      <c r="D41" s="1"/>
      <c r="E41" s="1"/>
      <c r="F41" s="1"/>
      <c r="G41" s="1"/>
      <c r="H41" s="1"/>
      <c r="I41" s="1"/>
      <c r="J41" s="1"/>
      <c r="K41" s="1"/>
      <c r="L41" s="1"/>
      <c r="M41" s="1"/>
      <c r="N41" s="1"/>
      <c r="O41" s="1"/>
      <c r="P41" s="1"/>
      <c r="Q41" s="1"/>
      <c r="S41" s="1"/>
      <c r="T41" s="9"/>
      <c r="U41" s="9"/>
      <c r="V41" s="1"/>
    </row>
    <row r="42" spans="1:22" ht="15.75" x14ac:dyDescent="0.25">
      <c r="A42" s="1" t="s">
        <v>72</v>
      </c>
      <c r="B42" s="1"/>
      <c r="C42" s="1"/>
      <c r="D42" s="1"/>
      <c r="E42" s="1">
        <v>20000</v>
      </c>
      <c r="F42" s="1">
        <v>15000</v>
      </c>
      <c r="G42" s="1"/>
      <c r="H42" s="1"/>
      <c r="I42" s="1"/>
      <c r="J42" s="1"/>
      <c r="K42" s="1"/>
      <c r="L42" s="1"/>
      <c r="M42" s="1"/>
      <c r="N42" s="1"/>
      <c r="O42" s="1"/>
      <c r="P42" s="1"/>
      <c r="Q42" s="1"/>
      <c r="S42" s="1"/>
      <c r="T42" s="9"/>
      <c r="U42" s="9"/>
      <c r="V42" s="1"/>
    </row>
    <row r="43" spans="1:22" ht="15.75" x14ac:dyDescent="0.25">
      <c r="A43" s="1" t="s">
        <v>73</v>
      </c>
      <c r="B43" s="1"/>
      <c r="C43" s="1"/>
      <c r="D43" s="1"/>
      <c r="E43" s="1">
        <v>4500</v>
      </c>
      <c r="F43" s="1">
        <v>3000</v>
      </c>
      <c r="G43" s="1"/>
      <c r="H43" s="1"/>
      <c r="I43" s="1"/>
      <c r="J43" s="1"/>
      <c r="K43" s="1"/>
      <c r="L43" s="1"/>
      <c r="M43" s="1"/>
      <c r="N43" s="1"/>
      <c r="O43" s="1"/>
      <c r="P43" s="1"/>
      <c r="Q43" s="1"/>
      <c r="S43" s="1"/>
      <c r="T43" s="9"/>
      <c r="U43" s="9"/>
      <c r="V43" s="1"/>
    </row>
    <row r="44" spans="1:22" ht="15.75" x14ac:dyDescent="0.25">
      <c r="A44" s="1" t="s">
        <v>31</v>
      </c>
      <c r="B44" s="1"/>
      <c r="C44" s="1"/>
      <c r="D44" s="1"/>
      <c r="E44" s="1">
        <v>6010</v>
      </c>
      <c r="F44" s="1">
        <v>4340</v>
      </c>
      <c r="G44" s="1"/>
      <c r="H44" s="1"/>
      <c r="I44" s="1"/>
      <c r="J44" s="1"/>
      <c r="K44" s="1"/>
      <c r="L44" s="1"/>
      <c r="M44" s="1"/>
      <c r="N44" s="1"/>
      <c r="O44" s="1"/>
      <c r="P44" s="1"/>
      <c r="Q44" s="1"/>
      <c r="S44" s="1"/>
      <c r="T44" s="9"/>
      <c r="U44" s="9"/>
      <c r="V44" s="1"/>
    </row>
    <row r="45" spans="1:22" ht="15.75" x14ac:dyDescent="0.25">
      <c r="A45" s="1" t="s">
        <v>74</v>
      </c>
      <c r="B45" s="1"/>
      <c r="C45" s="1"/>
      <c r="D45" s="1"/>
      <c r="E45" s="1">
        <v>30510</v>
      </c>
      <c r="F45" s="1">
        <v>22340</v>
      </c>
      <c r="G45" s="1"/>
      <c r="H45" s="1"/>
      <c r="I45" s="1"/>
      <c r="J45" s="1"/>
      <c r="K45" s="1"/>
      <c r="L45" s="1"/>
      <c r="M45" s="1"/>
      <c r="N45" s="1"/>
      <c r="O45" s="1"/>
      <c r="P45" s="1"/>
      <c r="Q45" s="1"/>
      <c r="T45" s="24"/>
      <c r="U45" s="24"/>
    </row>
    <row r="46" spans="1:22" ht="15.75" x14ac:dyDescent="0.25">
      <c r="A46" s="1" t="s">
        <v>75</v>
      </c>
      <c r="B46" s="1"/>
      <c r="C46" s="1"/>
      <c r="D46" s="1"/>
      <c r="E46" s="1">
        <v>1840</v>
      </c>
      <c r="F46" s="1">
        <v>1080</v>
      </c>
      <c r="G46" s="1"/>
      <c r="H46" s="1"/>
      <c r="I46" s="1"/>
      <c r="J46" s="1"/>
      <c r="K46" s="1"/>
      <c r="L46" s="1"/>
      <c r="M46" s="1"/>
      <c r="N46" s="1"/>
      <c r="O46" s="1"/>
      <c r="P46" s="1"/>
      <c r="Q46" s="1"/>
      <c r="T46" s="24"/>
      <c r="U46" s="24"/>
    </row>
    <row r="47" spans="1:22" ht="15.75" x14ac:dyDescent="0.25">
      <c r="A47" s="1" t="s">
        <v>76</v>
      </c>
      <c r="B47" s="1"/>
      <c r="C47" s="1"/>
      <c r="D47" s="1"/>
      <c r="E47" s="2">
        <v>32350</v>
      </c>
      <c r="F47" s="2">
        <v>23420</v>
      </c>
      <c r="G47" s="1"/>
      <c r="H47" s="1"/>
      <c r="I47" s="1"/>
      <c r="J47" s="1"/>
      <c r="K47" s="1"/>
      <c r="L47" s="1"/>
      <c r="M47" s="1"/>
      <c r="N47" s="1"/>
      <c r="O47" s="1"/>
      <c r="P47" s="1"/>
      <c r="Q47" s="1"/>
      <c r="T47" s="24"/>
      <c r="U47" s="24"/>
    </row>
    <row r="48" spans="1:22" ht="15.75" x14ac:dyDescent="0.25">
      <c r="A48" s="1"/>
      <c r="B48" s="1"/>
      <c r="C48" s="1"/>
      <c r="D48" s="1"/>
      <c r="E48" s="1"/>
      <c r="F48" s="1"/>
      <c r="G48" s="1"/>
      <c r="H48" s="1"/>
      <c r="I48" s="1"/>
      <c r="J48" s="1"/>
      <c r="K48" s="1"/>
      <c r="L48" s="1"/>
      <c r="M48" s="1"/>
      <c r="N48" s="1"/>
      <c r="O48" s="1"/>
      <c r="P48" s="1"/>
      <c r="Q48" s="1"/>
      <c r="T48" s="24"/>
      <c r="U48" s="24"/>
    </row>
    <row r="49" spans="1:21" ht="15.75" x14ac:dyDescent="0.25">
      <c r="A49" s="3" t="s">
        <v>77</v>
      </c>
      <c r="B49" s="1"/>
      <c r="C49" s="1"/>
      <c r="D49" s="1"/>
      <c r="E49" s="1"/>
      <c r="F49" s="1"/>
      <c r="G49" s="1"/>
      <c r="H49" s="1"/>
      <c r="I49" s="1"/>
      <c r="J49" s="1"/>
      <c r="K49" s="1"/>
      <c r="L49" s="1"/>
      <c r="M49" s="1"/>
      <c r="N49" s="1"/>
      <c r="O49" s="1"/>
      <c r="P49" s="1"/>
      <c r="Q49" s="1"/>
      <c r="T49" s="24"/>
      <c r="U49" s="24"/>
    </row>
    <row r="50" spans="1:21" ht="15.75" x14ac:dyDescent="0.25">
      <c r="A50" s="1" t="s">
        <v>78</v>
      </c>
      <c r="B50" s="1"/>
      <c r="C50" s="1"/>
      <c r="D50" s="1"/>
      <c r="E50" s="1">
        <v>795</v>
      </c>
      <c r="F50" s="1"/>
      <c r="G50" s="1"/>
      <c r="H50" s="1"/>
      <c r="I50" s="1"/>
      <c r="J50" s="1"/>
      <c r="K50" s="1"/>
      <c r="L50" s="1"/>
      <c r="M50" s="1"/>
      <c r="N50" s="1"/>
      <c r="O50" s="1"/>
      <c r="P50" s="1"/>
      <c r="Q50" s="1"/>
      <c r="T50" s="24"/>
      <c r="U50" s="24"/>
    </row>
    <row r="51" spans="1:21" ht="15.75" x14ac:dyDescent="0.25">
      <c r="A51" s="1" t="s">
        <v>79</v>
      </c>
      <c r="B51" s="1"/>
      <c r="C51" s="1"/>
      <c r="D51" s="1"/>
      <c r="E51" s="1">
        <v>2600</v>
      </c>
      <c r="F51" s="1">
        <v>3000</v>
      </c>
      <c r="G51" s="1"/>
      <c r="H51" s="1"/>
      <c r="I51" s="1"/>
      <c r="J51" s="1"/>
      <c r="K51" s="1"/>
      <c r="L51" s="1"/>
      <c r="M51" s="1"/>
      <c r="N51" s="1"/>
      <c r="O51" s="1"/>
      <c r="P51" s="1"/>
      <c r="Q51" s="1"/>
      <c r="T51" s="24"/>
      <c r="U51" s="24"/>
    </row>
    <row r="52" spans="1:21" ht="15.75" x14ac:dyDescent="0.25">
      <c r="A52" s="1" t="s">
        <v>80</v>
      </c>
      <c r="B52" s="1"/>
      <c r="C52" s="1"/>
      <c r="D52" s="1"/>
      <c r="E52" s="1">
        <v>620</v>
      </c>
      <c r="F52" s="1">
        <v>450</v>
      </c>
      <c r="G52" s="1"/>
      <c r="H52" s="1"/>
      <c r="I52" s="1"/>
      <c r="J52" s="1"/>
      <c r="K52" s="1"/>
      <c r="L52" s="1"/>
      <c r="M52" s="1"/>
      <c r="N52" s="1"/>
      <c r="O52" s="1"/>
      <c r="P52" s="1"/>
      <c r="Q52" s="1"/>
      <c r="T52" s="24"/>
      <c r="U52" s="24"/>
    </row>
    <row r="53" spans="1:21" ht="15.75" x14ac:dyDescent="0.25">
      <c r="A53" s="1"/>
      <c r="B53" s="1"/>
      <c r="C53" s="1"/>
      <c r="D53" s="1"/>
      <c r="E53" s="2">
        <v>4015</v>
      </c>
      <c r="F53" s="2">
        <v>3450</v>
      </c>
      <c r="G53" s="1"/>
      <c r="H53" s="1"/>
      <c r="I53" s="1"/>
      <c r="J53" s="1"/>
      <c r="K53" s="1"/>
      <c r="L53" s="1"/>
      <c r="M53" s="1"/>
      <c r="N53" s="1"/>
      <c r="O53" s="1"/>
      <c r="P53" s="1"/>
      <c r="Q53" s="1"/>
      <c r="T53" s="24"/>
      <c r="U53" s="24"/>
    </row>
    <row r="54" spans="1:21" ht="15.75" x14ac:dyDescent="0.25">
      <c r="A54" s="1"/>
      <c r="B54" s="1"/>
      <c r="C54" s="1"/>
      <c r="D54" s="1"/>
      <c r="E54" s="1"/>
      <c r="F54" s="1"/>
      <c r="G54" s="1"/>
      <c r="H54" s="1"/>
      <c r="I54" s="1"/>
      <c r="J54" s="1"/>
      <c r="K54" s="1"/>
      <c r="L54" s="1"/>
      <c r="M54" s="1"/>
      <c r="N54" s="1"/>
      <c r="O54" s="1"/>
      <c r="P54" s="1"/>
      <c r="Q54" s="1"/>
    </row>
    <row r="55" spans="1:21" ht="15.75" x14ac:dyDescent="0.25">
      <c r="A55" s="1" t="s">
        <v>81</v>
      </c>
      <c r="B55" s="1"/>
      <c r="C55" s="1"/>
      <c r="D55" s="1"/>
      <c r="E55" s="1"/>
      <c r="F55" s="1"/>
      <c r="G55" s="1"/>
      <c r="H55" s="1"/>
      <c r="I55" s="1"/>
      <c r="J55" s="1"/>
      <c r="K55" s="1"/>
      <c r="L55" s="1"/>
      <c r="M55" s="1"/>
      <c r="N55" s="1"/>
      <c r="O55" s="1"/>
      <c r="P55" s="1"/>
      <c r="Q55" s="1"/>
    </row>
    <row r="56" spans="1:21" ht="15.75" x14ac:dyDescent="0.25">
      <c r="A56" s="1" t="s">
        <v>82</v>
      </c>
      <c r="B56" s="1"/>
      <c r="C56" s="1"/>
      <c r="D56" s="1"/>
      <c r="E56" s="1">
        <v>9790</v>
      </c>
      <c r="F56" s="1">
        <v>8750</v>
      </c>
      <c r="G56" s="1"/>
      <c r="H56" s="1"/>
      <c r="I56" s="1"/>
      <c r="J56" s="1"/>
      <c r="K56" s="1"/>
      <c r="L56" s="1"/>
      <c r="M56" s="1"/>
      <c r="N56" s="1"/>
      <c r="O56" s="1"/>
      <c r="P56" s="1"/>
      <c r="Q56" s="1"/>
    </row>
    <row r="57" spans="1:21" ht="15.75" x14ac:dyDescent="0.25">
      <c r="A57" s="1" t="s">
        <v>83</v>
      </c>
      <c r="B57" s="1"/>
      <c r="C57" s="1"/>
      <c r="D57" s="1"/>
      <c r="E57" s="1">
        <v>745</v>
      </c>
      <c r="F57" s="1">
        <v>580</v>
      </c>
      <c r="G57" s="1"/>
      <c r="H57" s="1"/>
      <c r="I57" s="1"/>
      <c r="J57" s="1"/>
      <c r="K57" s="1"/>
      <c r="L57" s="1"/>
      <c r="M57" s="1"/>
      <c r="N57" s="1"/>
      <c r="O57" s="1"/>
      <c r="P57" s="1"/>
      <c r="Q57" s="1"/>
    </row>
    <row r="58" spans="1:21" ht="15.75" x14ac:dyDescent="0.25">
      <c r="A58" s="1"/>
      <c r="B58" s="1"/>
      <c r="C58" s="1"/>
      <c r="D58" s="1"/>
      <c r="E58" s="5">
        <v>10535</v>
      </c>
      <c r="F58" s="5">
        <v>9330</v>
      </c>
      <c r="G58" s="1"/>
      <c r="H58" s="1"/>
      <c r="I58" s="1"/>
      <c r="J58" s="1"/>
      <c r="K58" s="1"/>
      <c r="L58" s="1"/>
      <c r="M58" s="1"/>
      <c r="N58" s="1"/>
      <c r="O58" s="1"/>
      <c r="P58" s="1"/>
      <c r="Q58" s="1"/>
    </row>
    <row r="59" spans="1:21" ht="16.5" thickBot="1" x14ac:dyDescent="0.3">
      <c r="A59" s="1" t="s">
        <v>84</v>
      </c>
      <c r="B59" s="1"/>
      <c r="C59" s="1"/>
      <c r="D59" s="1"/>
      <c r="E59" s="4">
        <v>46900</v>
      </c>
      <c r="F59" s="4">
        <v>36200</v>
      </c>
      <c r="G59" s="1"/>
      <c r="H59" s="1"/>
      <c r="I59" s="1"/>
      <c r="J59" s="1"/>
      <c r="K59" s="1"/>
      <c r="L59" s="1"/>
      <c r="M59" s="1"/>
      <c r="N59" s="1"/>
      <c r="O59" s="1"/>
      <c r="P59" s="1"/>
      <c r="Q59" s="1"/>
    </row>
    <row r="60" spans="1:21" ht="15.75" x14ac:dyDescent="0.25">
      <c r="A60" s="1"/>
      <c r="B60" s="1"/>
      <c r="C60" s="1"/>
      <c r="D60" s="1"/>
      <c r="E60" s="1"/>
      <c r="F60" s="1"/>
      <c r="G60" s="1"/>
      <c r="H60" s="1"/>
      <c r="I60" s="1"/>
      <c r="J60" s="1"/>
      <c r="K60" s="1"/>
      <c r="L60" s="1"/>
      <c r="M60" s="1"/>
      <c r="N60" s="1"/>
      <c r="O60" s="1"/>
      <c r="P60" s="1"/>
      <c r="Q60" s="1"/>
    </row>
    <row r="61" spans="1:21" ht="15.75" x14ac:dyDescent="0.25">
      <c r="A61" s="1" t="s">
        <v>85</v>
      </c>
      <c r="B61" s="1"/>
      <c r="C61" s="1"/>
      <c r="D61" s="1"/>
      <c r="E61" s="1"/>
      <c r="F61" s="1"/>
      <c r="G61" s="1"/>
      <c r="H61" s="1"/>
      <c r="I61" s="1"/>
      <c r="J61" s="1"/>
      <c r="K61" s="1"/>
      <c r="L61" s="1"/>
      <c r="M61" s="1"/>
      <c r="N61" s="1"/>
      <c r="O61" s="1"/>
      <c r="P61" s="1"/>
      <c r="Q61" s="1"/>
    </row>
    <row r="62" spans="1:21" ht="15.75" x14ac:dyDescent="0.25">
      <c r="A62" s="1" t="s">
        <v>86</v>
      </c>
      <c r="B62" s="1"/>
      <c r="C62" s="1"/>
      <c r="D62" s="1"/>
      <c r="E62" s="1"/>
      <c r="F62" s="1"/>
      <c r="G62" s="1"/>
      <c r="H62" s="1"/>
      <c r="I62" s="1"/>
      <c r="J62" s="1"/>
      <c r="K62" s="1"/>
      <c r="L62" s="1"/>
      <c r="M62" s="1"/>
      <c r="N62" s="1"/>
      <c r="O62" s="1"/>
      <c r="P62" s="1"/>
      <c r="Q62" s="1"/>
    </row>
    <row r="63" spans="1:21" ht="15.75" x14ac:dyDescent="0.25">
      <c r="A63" s="1"/>
      <c r="B63" s="1"/>
      <c r="C63" s="1" t="s">
        <v>87</v>
      </c>
      <c r="D63" s="1"/>
      <c r="E63" s="1" t="s">
        <v>88</v>
      </c>
      <c r="F63" s="1"/>
      <c r="G63" s="1"/>
      <c r="H63" s="1"/>
      <c r="I63" s="1"/>
      <c r="J63" s="1"/>
      <c r="K63" s="1"/>
      <c r="L63" s="1"/>
      <c r="M63" s="1"/>
      <c r="N63" s="1"/>
      <c r="O63" s="1"/>
      <c r="P63" s="1"/>
      <c r="Q63" s="1"/>
    </row>
    <row r="64" spans="1:21" ht="15.75" x14ac:dyDescent="0.25">
      <c r="A64" s="1" t="s">
        <v>89</v>
      </c>
      <c r="B64" s="1"/>
      <c r="C64" s="1">
        <v>43000</v>
      </c>
      <c r="D64" s="1"/>
      <c r="E64" s="1">
        <v>30000</v>
      </c>
      <c r="F64" s="1"/>
      <c r="G64" s="1"/>
      <c r="H64" s="1" t="s">
        <v>182</v>
      </c>
      <c r="I64" s="1"/>
      <c r="J64" s="1">
        <v>810</v>
      </c>
      <c r="K64" s="1"/>
      <c r="L64" s="1"/>
      <c r="M64" s="1"/>
      <c r="N64" s="1"/>
      <c r="O64" s="1"/>
      <c r="P64" s="1"/>
      <c r="Q64" s="1"/>
    </row>
    <row r="65" spans="1:17" ht="15.75" x14ac:dyDescent="0.25">
      <c r="A65" s="1" t="s">
        <v>90</v>
      </c>
      <c r="B65" s="1"/>
      <c r="C65" s="1">
        <v>-19500</v>
      </c>
      <c r="D65" s="1"/>
      <c r="E65" s="1">
        <v>-15250</v>
      </c>
      <c r="F65" s="1"/>
      <c r="G65" s="1"/>
      <c r="H65" s="1"/>
      <c r="I65" s="1" t="s">
        <v>183</v>
      </c>
      <c r="J65" s="25">
        <f>8%</f>
        <v>0.08</v>
      </c>
      <c r="K65" s="1"/>
      <c r="L65" s="1"/>
      <c r="M65" s="1"/>
      <c r="N65" s="1"/>
      <c r="O65" s="1"/>
      <c r="P65" s="1"/>
      <c r="Q65" s="1"/>
    </row>
    <row r="66" spans="1:17" ht="16.5" thickBot="1" x14ac:dyDescent="0.3">
      <c r="A66" s="1" t="s">
        <v>91</v>
      </c>
      <c r="B66" s="1"/>
      <c r="C66" s="4">
        <v>23500</v>
      </c>
      <c r="D66" s="4"/>
      <c r="E66" s="4">
        <v>14750</v>
      </c>
      <c r="F66" s="1"/>
      <c r="G66" s="1"/>
      <c r="H66" s="1"/>
      <c r="I66" s="1" t="s">
        <v>184</v>
      </c>
      <c r="J66" s="1">
        <v>1</v>
      </c>
      <c r="K66" s="1"/>
      <c r="L66" s="1"/>
      <c r="M66" s="1"/>
      <c r="N66" s="1"/>
      <c r="O66" s="1"/>
      <c r="P66" s="1"/>
      <c r="Q66" s="1"/>
    </row>
    <row r="67" spans="1:17" ht="15.75" x14ac:dyDescent="0.25">
      <c r="A67" s="1" t="s">
        <v>92</v>
      </c>
      <c r="B67" s="1"/>
      <c r="C67" s="1"/>
      <c r="D67" s="1"/>
      <c r="E67" s="1"/>
      <c r="F67" s="1"/>
      <c r="G67" s="1"/>
      <c r="H67" s="1"/>
      <c r="I67" s="1"/>
      <c r="J67" s="1"/>
      <c r="K67" s="1"/>
      <c r="L67" s="1"/>
      <c r="M67" s="1"/>
      <c r="N67" s="1"/>
      <c r="O67" s="1"/>
      <c r="P67" s="1"/>
      <c r="Q67" s="1"/>
    </row>
    <row r="68" spans="1:17" ht="15.75" x14ac:dyDescent="0.25">
      <c r="A68" s="1" t="s">
        <v>93</v>
      </c>
      <c r="B68" s="1"/>
      <c r="C68" s="1"/>
      <c r="D68" s="1"/>
      <c r="E68" s="1"/>
      <c r="F68" s="1"/>
      <c r="G68" s="1"/>
      <c r="H68" s="1"/>
      <c r="I68" s="1"/>
      <c r="J68" s="1"/>
      <c r="K68" s="1"/>
      <c r="L68" s="1"/>
      <c r="M68" s="1"/>
      <c r="N68" s="1"/>
      <c r="O68" s="1"/>
      <c r="P68" s="1"/>
      <c r="Q68" s="1"/>
    </row>
    <row r="69" spans="1:17" ht="15.75" x14ac:dyDescent="0.25">
      <c r="A69" s="1" t="s">
        <v>94</v>
      </c>
      <c r="B69" s="1"/>
      <c r="C69" s="1"/>
      <c r="D69" s="1"/>
      <c r="E69" s="1"/>
      <c r="F69" s="1"/>
      <c r="G69" s="1"/>
      <c r="H69" s="1"/>
      <c r="I69" s="1"/>
      <c r="J69" s="1"/>
      <c r="K69" s="1"/>
      <c r="L69" s="1"/>
      <c r="M69" s="1"/>
      <c r="N69" s="1"/>
      <c r="O69" s="1"/>
      <c r="P69" s="1"/>
      <c r="Q69" s="1"/>
    </row>
    <row r="70" spans="1:17" ht="15.75" x14ac:dyDescent="0.25">
      <c r="A70" s="1"/>
      <c r="B70" s="1"/>
      <c r="C70" s="1"/>
      <c r="D70" s="1"/>
      <c r="E70" s="1"/>
      <c r="F70" s="1"/>
      <c r="G70" s="1"/>
      <c r="H70" s="1"/>
      <c r="I70" s="1"/>
      <c r="J70" s="1"/>
      <c r="K70" s="1"/>
      <c r="L70" s="1"/>
      <c r="M70" s="1"/>
      <c r="N70" s="1"/>
      <c r="O70" s="1"/>
      <c r="P70" s="1"/>
      <c r="Q70" s="1"/>
    </row>
    <row r="71" spans="1:17" ht="15.75" x14ac:dyDescent="0.25">
      <c r="A71" s="1" t="s">
        <v>164</v>
      </c>
      <c r="B71" s="1"/>
      <c r="C71" s="1"/>
      <c r="D71" s="1"/>
      <c r="E71" s="1"/>
      <c r="F71" s="1"/>
      <c r="G71" s="1"/>
      <c r="H71" s="1"/>
      <c r="I71" s="1"/>
      <c r="J71" s="1"/>
      <c r="K71" s="1"/>
      <c r="L71" s="1"/>
      <c r="M71" s="1"/>
      <c r="N71" s="1"/>
      <c r="O71" s="1"/>
      <c r="P71" s="1"/>
      <c r="Q71" s="1"/>
    </row>
    <row r="72" spans="1:17" ht="15.75" x14ac:dyDescent="0.25">
      <c r="A72" s="1" t="s">
        <v>163</v>
      </c>
      <c r="B72" s="1"/>
      <c r="C72" s="1"/>
      <c r="D72" s="1"/>
      <c r="E72" s="1"/>
      <c r="F72" s="1"/>
      <c r="G72" s="1"/>
      <c r="H72" s="1"/>
      <c r="I72" s="1"/>
      <c r="J72" s="1"/>
      <c r="K72" s="1"/>
      <c r="L72" s="1"/>
      <c r="M72" s="1"/>
      <c r="N72" s="1"/>
      <c r="O72" s="1"/>
      <c r="P72" s="1"/>
      <c r="Q72" s="1"/>
    </row>
    <row r="73" spans="1:17" ht="15.75" x14ac:dyDescent="0.25">
      <c r="A73" s="1" t="s">
        <v>162</v>
      </c>
      <c r="B73" s="1"/>
      <c r="C73" s="1"/>
      <c r="D73" s="1"/>
      <c r="E73" s="1"/>
      <c r="F73" s="1"/>
      <c r="G73" s="1"/>
      <c r="H73" s="1"/>
      <c r="I73" s="1"/>
      <c r="J73" s="1"/>
      <c r="K73" s="1"/>
      <c r="L73" s="1"/>
      <c r="M73" s="1"/>
      <c r="N73" s="1"/>
      <c r="O73" s="1"/>
      <c r="P73" s="1"/>
      <c r="Q73" s="1"/>
    </row>
    <row r="74" spans="1:17" ht="15.75" x14ac:dyDescent="0.25">
      <c r="A74" s="1" t="s">
        <v>95</v>
      </c>
      <c r="B74" s="1"/>
      <c r="C74" s="1"/>
      <c r="D74" s="1"/>
      <c r="E74" s="1"/>
      <c r="F74" s="1"/>
      <c r="G74" s="1"/>
      <c r="H74" s="1"/>
      <c r="I74" s="1"/>
      <c r="J74" s="1"/>
      <c r="K74" s="1"/>
      <c r="L74" s="1"/>
      <c r="M74" s="1"/>
      <c r="N74" s="1"/>
      <c r="O74" s="1"/>
      <c r="P74" s="1"/>
      <c r="Q74" s="1"/>
    </row>
    <row r="75" spans="1:17" ht="15.75" x14ac:dyDescent="0.25">
      <c r="A75" s="1" t="s">
        <v>96</v>
      </c>
      <c r="B75" s="1"/>
      <c r="C75" s="1"/>
      <c r="D75" s="1"/>
      <c r="E75" s="1"/>
      <c r="F75" s="1"/>
      <c r="G75" s="1"/>
      <c r="H75" s="1"/>
      <c r="I75" s="1"/>
      <c r="J75" s="1"/>
      <c r="K75" s="1"/>
      <c r="L75" s="1"/>
      <c r="M75" s="1"/>
      <c r="N75" s="1"/>
      <c r="O75" s="1"/>
      <c r="P75" s="1"/>
      <c r="Q75" s="1"/>
    </row>
    <row r="76" spans="1:17" ht="15.75" x14ac:dyDescent="0.25">
      <c r="A76" s="1"/>
      <c r="B76" s="1"/>
      <c r="C76" s="1"/>
      <c r="D76" s="1"/>
      <c r="E76" s="1"/>
      <c r="F76" s="1"/>
      <c r="G76" s="1"/>
      <c r="H76" s="1"/>
      <c r="I76" s="1"/>
      <c r="J76" s="1"/>
      <c r="K76" s="1"/>
      <c r="L76" s="1"/>
      <c r="M76" s="1"/>
      <c r="N76" s="1"/>
      <c r="O76" s="1"/>
      <c r="P76" s="1"/>
      <c r="Q76" s="1"/>
    </row>
    <row r="77" spans="1:17" ht="15.75" x14ac:dyDescent="0.25">
      <c r="A77" s="1"/>
      <c r="B77" s="1"/>
      <c r="C77" s="1"/>
      <c r="D77" s="1"/>
      <c r="E77" s="1" t="s">
        <v>97</v>
      </c>
      <c r="F77" s="1"/>
      <c r="G77" s="1"/>
      <c r="H77" s="1"/>
      <c r="I77" s="1"/>
      <c r="J77" s="1"/>
      <c r="K77" s="1"/>
      <c r="L77" s="1"/>
      <c r="M77" s="1"/>
      <c r="N77" s="1"/>
      <c r="O77" s="1"/>
      <c r="P77" s="1"/>
      <c r="Q77" s="1"/>
    </row>
    <row r="78" spans="1:17" ht="15.75" x14ac:dyDescent="0.25">
      <c r="A78" s="1" t="s">
        <v>98</v>
      </c>
      <c r="B78" s="1"/>
      <c r="C78" s="1"/>
      <c r="D78" s="1"/>
      <c r="E78" s="1">
        <v>5000</v>
      </c>
      <c r="F78" s="1"/>
      <c r="G78" s="1"/>
      <c r="H78" s="1"/>
      <c r="I78" s="1"/>
      <c r="J78" s="1"/>
      <c r="K78" s="1"/>
      <c r="L78" s="1"/>
      <c r="M78" s="1"/>
      <c r="N78" s="1"/>
      <c r="O78" s="1"/>
      <c r="P78" s="1"/>
      <c r="Q78" s="1"/>
    </row>
    <row r="79" spans="1:17" ht="15.75" x14ac:dyDescent="0.25">
      <c r="A79" s="1" t="s">
        <v>99</v>
      </c>
      <c r="B79" s="1" t="s">
        <v>90</v>
      </c>
      <c r="C79" s="1"/>
      <c r="D79" s="1"/>
      <c r="E79" s="1">
        <v>-2900</v>
      </c>
      <c r="F79" s="1"/>
      <c r="G79" s="1"/>
      <c r="H79" s="1"/>
      <c r="I79" s="1"/>
      <c r="J79" s="1"/>
      <c r="K79" s="1"/>
      <c r="L79" s="1"/>
      <c r="M79" s="1"/>
      <c r="N79" s="1"/>
      <c r="O79" s="1"/>
      <c r="P79" s="1"/>
      <c r="Q79" s="1"/>
    </row>
    <row r="80" spans="1:17" ht="15.75" x14ac:dyDescent="0.25">
      <c r="A80" s="1" t="s">
        <v>66</v>
      </c>
      <c r="B80" s="1"/>
      <c r="C80" s="1"/>
      <c r="D80" s="1"/>
      <c r="E80" s="1">
        <v>820</v>
      </c>
      <c r="F80" s="1"/>
      <c r="G80" s="1"/>
      <c r="H80" s="1"/>
      <c r="I80" s="1"/>
      <c r="J80" s="1"/>
      <c r="K80" s="1"/>
      <c r="L80" s="1"/>
      <c r="M80" s="1"/>
      <c r="N80" s="1"/>
      <c r="O80" s="1"/>
      <c r="P80" s="1"/>
      <c r="Q80" s="1"/>
    </row>
    <row r="81" spans="1:17" ht="15.75" x14ac:dyDescent="0.25">
      <c r="A81" s="1" t="s">
        <v>100</v>
      </c>
      <c r="B81" s="1"/>
      <c r="C81" s="1"/>
      <c r="D81" s="1"/>
      <c r="E81" s="1">
        <v>650</v>
      </c>
      <c r="F81" s="1"/>
      <c r="G81" s="1"/>
      <c r="H81" s="1"/>
      <c r="I81" s="1"/>
      <c r="J81" s="1"/>
      <c r="K81" s="1"/>
      <c r="L81" s="1"/>
      <c r="M81" s="1"/>
      <c r="N81" s="1"/>
      <c r="O81" s="1"/>
      <c r="P81" s="1"/>
      <c r="Q81" s="1"/>
    </row>
    <row r="82" spans="1:17" ht="15.75" x14ac:dyDescent="0.25">
      <c r="A82" s="1" t="s">
        <v>101</v>
      </c>
      <c r="B82" s="1"/>
      <c r="C82" s="1"/>
      <c r="D82" s="1"/>
      <c r="E82" s="1">
        <v>20</v>
      </c>
      <c r="F82" s="1"/>
      <c r="G82" s="1"/>
      <c r="H82" s="1"/>
      <c r="I82" s="1"/>
      <c r="J82" s="1"/>
      <c r="K82" s="1"/>
      <c r="L82" s="1"/>
      <c r="M82" s="1"/>
      <c r="N82" s="1"/>
      <c r="O82" s="1"/>
      <c r="P82" s="1"/>
      <c r="Q82" s="1"/>
    </row>
    <row r="83" spans="1:17" ht="15.75" x14ac:dyDescent="0.25">
      <c r="A83" s="1" t="s">
        <v>102</v>
      </c>
      <c r="B83" s="1"/>
      <c r="C83" s="1"/>
      <c r="D83" s="1"/>
      <c r="E83" s="1">
        <v>110</v>
      </c>
      <c r="F83" s="1"/>
      <c r="G83" s="1"/>
      <c r="H83" s="1"/>
      <c r="I83" s="1"/>
      <c r="J83" s="1"/>
      <c r="K83" s="1"/>
      <c r="L83" s="1"/>
      <c r="M83" s="1"/>
      <c r="N83" s="1"/>
      <c r="O83" s="1"/>
      <c r="P83" s="1"/>
      <c r="Q83" s="1"/>
    </row>
    <row r="84" spans="1:17" ht="15.75" x14ac:dyDescent="0.25">
      <c r="A84" s="1" t="s">
        <v>82</v>
      </c>
      <c r="B84" s="1"/>
      <c r="C84" s="1"/>
      <c r="D84" s="1"/>
      <c r="E84" s="1">
        <v>-1200</v>
      </c>
      <c r="F84" s="1"/>
      <c r="G84" s="1"/>
      <c r="H84" s="1"/>
      <c r="I84" s="1"/>
      <c r="J84" s="1"/>
      <c r="K84" s="1"/>
      <c r="L84" s="1"/>
      <c r="M84" s="1"/>
      <c r="N84" s="1"/>
      <c r="O84" s="1"/>
      <c r="P84" s="1"/>
      <c r="Q84" s="1"/>
    </row>
    <row r="85" spans="1:17" ht="16.5" thickBot="1" x14ac:dyDescent="0.3">
      <c r="A85" s="1"/>
      <c r="B85" s="1"/>
      <c r="C85" s="1"/>
      <c r="D85" s="1"/>
      <c r="E85" s="4">
        <v>2500</v>
      </c>
      <c r="F85" s="1"/>
      <c r="G85" s="1"/>
      <c r="H85" s="1"/>
      <c r="I85" s="1"/>
      <c r="J85" s="1"/>
      <c r="K85" s="1"/>
      <c r="L85" s="1"/>
      <c r="M85" s="1"/>
      <c r="N85" s="1"/>
      <c r="O85" s="1"/>
      <c r="P85" s="1"/>
      <c r="Q85" s="1"/>
    </row>
    <row r="86" spans="1:17" ht="15.75" x14ac:dyDescent="0.25">
      <c r="A86" s="1"/>
      <c r="B86" s="1"/>
      <c r="C86" s="1"/>
      <c r="D86" s="1"/>
      <c r="E86" s="1"/>
      <c r="F86" s="1"/>
      <c r="G86" s="1"/>
      <c r="H86" s="1"/>
      <c r="I86" s="1"/>
      <c r="J86" s="1"/>
      <c r="K86" s="1"/>
      <c r="L86" s="1"/>
      <c r="M86" s="1"/>
      <c r="N86" s="1"/>
      <c r="O86" s="1"/>
      <c r="P86" s="1"/>
      <c r="Q86" s="1"/>
    </row>
    <row r="87" spans="1:17" ht="15.75" x14ac:dyDescent="0.25">
      <c r="A87" s="1" t="s">
        <v>103</v>
      </c>
      <c r="B87" s="1"/>
      <c r="C87" s="1"/>
      <c r="D87" s="1"/>
      <c r="E87" s="1"/>
      <c r="F87" s="1"/>
      <c r="G87" s="1"/>
      <c r="H87" s="1"/>
      <c r="I87" s="1"/>
      <c r="J87" s="1"/>
      <c r="K87" s="1"/>
      <c r="L87" s="1"/>
      <c r="M87" s="1"/>
      <c r="N87" s="1"/>
      <c r="O87" s="1"/>
      <c r="P87" s="1"/>
      <c r="Q87" s="1"/>
    </row>
    <row r="88" spans="1:17" ht="15.75" x14ac:dyDescent="0.25">
      <c r="A88" s="1" t="s">
        <v>104</v>
      </c>
      <c r="B88" s="1"/>
      <c r="C88" s="1"/>
      <c r="D88" s="1"/>
      <c r="E88" s="1"/>
      <c r="F88" s="1"/>
      <c r="G88" s="1"/>
      <c r="H88" s="1"/>
      <c r="I88" s="1"/>
      <c r="J88" s="1"/>
      <c r="K88" s="1"/>
      <c r="L88" s="1"/>
      <c r="M88" s="1"/>
      <c r="N88" s="1"/>
      <c r="O88" s="1"/>
      <c r="P88" s="1"/>
      <c r="Q88" s="1"/>
    </row>
    <row r="89" spans="1:17" ht="15.75" x14ac:dyDescent="0.25">
      <c r="A89" s="1"/>
      <c r="B89" s="1"/>
      <c r="C89" s="1"/>
      <c r="D89" s="1"/>
      <c r="E89" s="1"/>
      <c r="F89" s="1"/>
      <c r="G89" s="1"/>
      <c r="H89" s="1"/>
      <c r="I89" s="1"/>
      <c r="J89" s="1"/>
      <c r="K89" s="1"/>
      <c r="L89" s="1"/>
      <c r="M89" s="1"/>
      <c r="N89" s="1"/>
      <c r="O89" s="1"/>
      <c r="P89" s="1"/>
      <c r="Q89" s="1"/>
    </row>
    <row r="90" spans="1:17" ht="15.75" x14ac:dyDescent="0.25">
      <c r="A90" s="1" t="s">
        <v>105</v>
      </c>
      <c r="B90" s="1"/>
      <c r="C90" s="1"/>
      <c r="D90" s="1"/>
      <c r="E90" s="1"/>
      <c r="F90" s="1"/>
      <c r="G90" s="1"/>
      <c r="H90" s="1"/>
      <c r="I90" s="1"/>
      <c r="J90" s="1"/>
      <c r="K90" s="1"/>
      <c r="L90" s="1"/>
      <c r="M90" s="1"/>
      <c r="N90" s="1"/>
      <c r="O90" s="1"/>
      <c r="P90" s="1"/>
      <c r="Q90" s="1"/>
    </row>
    <row r="91" spans="1:17" ht="15.75" x14ac:dyDescent="0.25">
      <c r="A91" s="1"/>
      <c r="B91" s="1"/>
      <c r="C91" s="1"/>
      <c r="D91" s="1"/>
      <c r="E91" s="1"/>
      <c r="F91" s="1"/>
      <c r="G91" s="1"/>
      <c r="H91" s="1"/>
      <c r="I91" s="1"/>
      <c r="J91" s="1"/>
      <c r="K91" s="1"/>
      <c r="L91" s="1"/>
      <c r="M91" s="1"/>
      <c r="N91" s="1"/>
      <c r="O91" s="1"/>
      <c r="P91" s="1"/>
      <c r="Q91" s="1"/>
    </row>
    <row r="92" spans="1:17" ht="15.75" x14ac:dyDescent="0.25">
      <c r="A92" s="1" t="s">
        <v>166</v>
      </c>
      <c r="B92" s="1"/>
      <c r="C92" s="1"/>
      <c r="D92" s="1"/>
      <c r="E92" s="1"/>
      <c r="F92" s="1"/>
      <c r="G92" s="1"/>
      <c r="H92" s="1"/>
      <c r="I92" s="1"/>
      <c r="J92" s="1"/>
      <c r="K92" s="1"/>
      <c r="L92" s="1"/>
      <c r="M92" s="1"/>
      <c r="N92" s="1"/>
      <c r="O92" s="1"/>
      <c r="P92" s="1"/>
      <c r="Q92" s="1"/>
    </row>
    <row r="93" spans="1:17" ht="15.75" x14ac:dyDescent="0.25">
      <c r="A93" s="1"/>
      <c r="B93" s="1"/>
      <c r="C93" s="1"/>
      <c r="D93" s="1"/>
      <c r="E93" s="1"/>
      <c r="F93" s="1"/>
      <c r="G93" s="1"/>
      <c r="H93" s="1"/>
      <c r="I93" s="1"/>
      <c r="J93" s="1"/>
      <c r="K93" s="1"/>
      <c r="L93" s="1"/>
      <c r="M93" s="1"/>
      <c r="N93" s="1"/>
      <c r="O93" s="1"/>
      <c r="P93" s="1"/>
      <c r="Q93" s="1"/>
    </row>
    <row r="94" spans="1:17" ht="15.75" x14ac:dyDescent="0.25">
      <c r="A94" s="1" t="s">
        <v>106</v>
      </c>
      <c r="B94" s="1"/>
      <c r="C94" s="1"/>
      <c r="D94" s="1"/>
      <c r="E94" s="1"/>
      <c r="F94" s="1"/>
      <c r="G94" s="1"/>
      <c r="H94" s="1"/>
      <c r="I94" s="1"/>
      <c r="J94" s="1"/>
      <c r="K94" s="1"/>
      <c r="L94" s="1"/>
      <c r="M94" s="1"/>
      <c r="N94" s="1"/>
      <c r="O94" s="1"/>
      <c r="P94" s="1"/>
      <c r="Q94" s="1"/>
    </row>
    <row r="95" spans="1:17" ht="15.75" x14ac:dyDescent="0.25">
      <c r="A95" s="1" t="s">
        <v>107</v>
      </c>
      <c r="B95" s="1"/>
      <c r="C95" s="1"/>
      <c r="D95" s="1"/>
      <c r="E95" s="1"/>
      <c r="F95" s="1"/>
      <c r="G95" s="1"/>
      <c r="H95" s="1"/>
      <c r="I95" s="1"/>
      <c r="J95" s="1"/>
      <c r="K95" s="1"/>
      <c r="L95" s="1"/>
      <c r="M95" s="1"/>
      <c r="N95" s="1"/>
      <c r="O95" s="1"/>
      <c r="P95" s="1"/>
      <c r="Q95" s="1"/>
    </row>
    <row r="96" spans="1:17" ht="15.75" x14ac:dyDescent="0.25">
      <c r="A96" s="1" t="s">
        <v>108</v>
      </c>
      <c r="B96" s="1"/>
      <c r="C96" s="1"/>
      <c r="D96" s="1"/>
      <c r="E96" s="1"/>
      <c r="F96" s="1"/>
      <c r="G96" s="1"/>
      <c r="H96" s="1"/>
      <c r="I96" s="1"/>
      <c r="J96" s="1"/>
      <c r="K96" s="1"/>
      <c r="L96" s="1"/>
      <c r="M96" s="1"/>
      <c r="N96" s="1"/>
      <c r="O96" s="1"/>
      <c r="P96" s="1"/>
      <c r="Q96" s="1"/>
    </row>
  </sheetData>
  <mergeCells count="2">
    <mergeCell ref="O3:U3"/>
    <mergeCell ref="O5:U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NPV</vt:lpstr>
      <vt:lpstr>common size</vt:lpstr>
      <vt:lpstr>SCENARIO ANALYSIS</vt:lpstr>
      <vt:lpstr>flexible budget</vt:lpstr>
      <vt:lpstr>CONSOLIDATED 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2023-08-07T03:20:56Z</dcterms:created>
  <dcterms:modified xsi:type="dcterms:W3CDTF">2023-08-10T18:10:05Z</dcterms:modified>
</cp:coreProperties>
</file>