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ocuments\"/>
    </mc:Choice>
  </mc:AlternateContent>
  <bookViews>
    <workbookView xWindow="0" yWindow="0" windowWidth="21600" windowHeight="9630" activeTab="1"/>
  </bookViews>
  <sheets>
    <sheet name="cashflow" sheetId="1" r:id="rId1"/>
    <sheet name="group"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2" l="1"/>
  <c r="P31" i="2"/>
  <c r="O31" i="2"/>
  <c r="O30" i="2"/>
  <c r="O29" i="2"/>
  <c r="O28" i="2"/>
  <c r="J31" i="2"/>
  <c r="J30" i="2"/>
  <c r="J29" i="2"/>
  <c r="J28" i="2"/>
  <c r="J27" i="2"/>
  <c r="P26" i="2"/>
  <c r="O26" i="2"/>
  <c r="O25" i="2"/>
  <c r="J26" i="2"/>
  <c r="J25" i="2"/>
  <c r="J24" i="2"/>
  <c r="P23" i="2"/>
  <c r="P22" i="2"/>
  <c r="F38" i="2"/>
  <c r="F37" i="2"/>
  <c r="E37" i="2"/>
  <c r="F36" i="2"/>
  <c r="E36" i="2"/>
  <c r="F35" i="2"/>
  <c r="E35" i="2"/>
  <c r="F34" i="2"/>
  <c r="E34" i="2"/>
  <c r="I4" i="2"/>
  <c r="F33" i="2"/>
  <c r="E33" i="2"/>
  <c r="F32" i="2"/>
  <c r="E32" i="2"/>
  <c r="E31" i="2"/>
  <c r="P21" i="2"/>
  <c r="P20" i="2"/>
  <c r="F30" i="2"/>
  <c r="F29" i="2"/>
  <c r="E29" i="2"/>
  <c r="F28" i="2"/>
  <c r="E28" i="2"/>
  <c r="F27" i="2"/>
  <c r="E27" i="2"/>
  <c r="F26" i="2"/>
  <c r="E26" i="2"/>
  <c r="F25" i="2"/>
  <c r="E25" i="2"/>
  <c r="F24" i="2"/>
  <c r="E24" i="2"/>
  <c r="E23" i="2"/>
  <c r="P19" i="2"/>
  <c r="J20" i="2"/>
  <c r="J19" i="2"/>
  <c r="J18" i="2"/>
  <c r="P17" i="2"/>
  <c r="P16" i="2"/>
  <c r="J17" i="2"/>
  <c r="O16" i="2"/>
  <c r="O15" i="2"/>
  <c r="O14" i="2"/>
  <c r="F22" i="2"/>
  <c r="J16" i="2"/>
  <c r="J15" i="2"/>
  <c r="J14" i="2"/>
  <c r="J13" i="2"/>
  <c r="P12" i="2"/>
  <c r="P11" i="2"/>
  <c r="F20" i="2"/>
  <c r="F19" i="2"/>
  <c r="F18" i="2"/>
  <c r="F17" i="2"/>
  <c r="E17" i="2"/>
  <c r="F16" i="2"/>
  <c r="E16" i="2"/>
  <c r="F15" i="2"/>
  <c r="E15" i="2"/>
  <c r="F14" i="2"/>
  <c r="F13" i="2"/>
  <c r="F12" i="2"/>
  <c r="P10" i="2"/>
  <c r="P9" i="2"/>
  <c r="F8" i="2"/>
  <c r="J10" i="2"/>
  <c r="J9" i="2"/>
  <c r="J8" i="2"/>
  <c r="S41" i="1" l="1"/>
  <c r="Q41" i="1"/>
  <c r="Q40" i="1"/>
  <c r="Q39" i="1"/>
  <c r="Q38" i="1"/>
  <c r="P37" i="1"/>
  <c r="K37" i="1"/>
  <c r="P36" i="1"/>
  <c r="K36" i="1"/>
  <c r="P35" i="1"/>
  <c r="P34" i="1"/>
  <c r="P33" i="1"/>
  <c r="Q31" i="1"/>
  <c r="P30" i="1"/>
  <c r="P29" i="1"/>
  <c r="P28" i="1"/>
  <c r="P27" i="1"/>
  <c r="P26" i="1"/>
  <c r="P24" i="1"/>
  <c r="Q22" i="1"/>
  <c r="Q21" i="1"/>
  <c r="Q20" i="1"/>
  <c r="Q19" i="1"/>
  <c r="P19" i="1"/>
  <c r="P18" i="1"/>
  <c r="P17" i="1"/>
  <c r="K19" i="1"/>
  <c r="K18" i="1"/>
  <c r="K17" i="1"/>
  <c r="Q15" i="1"/>
  <c r="Q14" i="1"/>
  <c r="P14" i="1"/>
  <c r="P13" i="1"/>
  <c r="P12" i="1"/>
  <c r="K62" i="1"/>
  <c r="K60" i="1"/>
  <c r="P11" i="1"/>
  <c r="P10" i="1"/>
  <c r="P9" i="1"/>
  <c r="K9" i="1"/>
  <c r="P8" i="1"/>
  <c r="K8" i="1"/>
  <c r="P7" i="1"/>
  <c r="K7" i="1"/>
  <c r="Q6" i="1"/>
  <c r="K6" i="1"/>
  <c r="F52" i="1" l="1"/>
  <c r="F48" i="1"/>
  <c r="F46" i="1"/>
  <c r="F43" i="1"/>
  <c r="F41" i="1"/>
  <c r="F38" i="1"/>
  <c r="C12" i="2"/>
  <c r="B12" i="2"/>
  <c r="F23" i="1" l="1"/>
  <c r="F25" i="1" s="1"/>
  <c r="F32" i="1" s="1"/>
  <c r="E23" i="1"/>
  <c r="E25" i="1" s="1"/>
  <c r="E32" i="1" s="1"/>
  <c r="F18" i="1"/>
  <c r="E18" i="1"/>
</calcChain>
</file>

<file path=xl/sharedStrings.xml><?xml version="1.0" encoding="utf-8"?>
<sst xmlns="http://schemas.openxmlformats.org/spreadsheetml/2006/main" count="164" uniqueCount="153">
  <si>
    <t>The following draft group financial statement relate to H limited, a public limited company, and its inverstment companies:</t>
  </si>
  <si>
    <t>Group statement of financial position as at 31 October</t>
  </si>
  <si>
    <t>Sh."million"</t>
  </si>
  <si>
    <t>Assets:</t>
  </si>
  <si>
    <t>Non-current assets:</t>
  </si>
  <si>
    <t>Property, plant and equipment (PPE)</t>
  </si>
  <si>
    <t>Goodwill</t>
  </si>
  <si>
    <t>Other intangible assets</t>
  </si>
  <si>
    <t>Investment in associate</t>
  </si>
  <si>
    <t>Financial assets</t>
  </si>
  <si>
    <t>Current assets:</t>
  </si>
  <si>
    <t>Inventories</t>
  </si>
  <si>
    <t>Trade Receivable</t>
  </si>
  <si>
    <t>Cash and Cash equivalents</t>
  </si>
  <si>
    <t>Total Assets</t>
  </si>
  <si>
    <t>The gain/ loss on disposal of the subsidiary is included in administive expenses. The disposal of Slimited is not classified as a separate major line of business or geographical operation. The  investment in S Limited had been acquired several years ago ata a consideration of Sh.230 million when the fair value of the indentifiable net asset stood at Sh. 250 million.</t>
  </si>
  <si>
    <t>2) The Group policy is to masure the noncontolling intrest in all subsidiaries at their Proportionate share of net assets at the acquisition date.</t>
  </si>
  <si>
    <t>3) An impairment test carried out at 31 October 2021 showed that goodwill other than that arising on the  acquisition of s Limited was impaired. Other intangible assets were also impared.</t>
  </si>
  <si>
    <t>Sh. "million"</t>
  </si>
  <si>
    <t>Balance as at 1 November</t>
  </si>
  <si>
    <t>Less carrying amoung of financial assets disposed of</t>
  </si>
  <si>
    <t>Add purchase of financial assets</t>
  </si>
  <si>
    <t>Add fair value gain on financial assetes</t>
  </si>
  <si>
    <t>Balance as at 31 October 2021</t>
  </si>
  <si>
    <t>The sale proceeds of financial assets were Sh. 360 millions. Profit on sale of the financal assets is included in investment income in the financial statement.</t>
  </si>
  <si>
    <t xml:space="preserve">6) The profit for this year attributable to the non-control intrests amounted to Sh.390 Million. </t>
  </si>
  <si>
    <t>equity and liabilities</t>
  </si>
  <si>
    <t>ordinary shares</t>
  </si>
  <si>
    <t>Revaluation surplus(PPE and financial)</t>
  </si>
  <si>
    <t>Retained earnings</t>
  </si>
  <si>
    <t>equity attributable to owners</t>
  </si>
  <si>
    <t>Equity attributable toNCI</t>
  </si>
  <si>
    <t>TOTA EQUITY</t>
  </si>
  <si>
    <t>non current liabilities</t>
  </si>
  <si>
    <t>long term borrowing</t>
  </si>
  <si>
    <t>Deffered tax</t>
  </si>
  <si>
    <t>current laibility</t>
  </si>
  <si>
    <t>trade payables</t>
  </si>
  <si>
    <t>current tax</t>
  </si>
  <si>
    <t>Total equity and liabilities</t>
  </si>
  <si>
    <t>Group statement of profit or loss and other comprehensive income for the year ended 31 October 2021:</t>
  </si>
  <si>
    <t>Sh."millions"</t>
  </si>
  <si>
    <t>Revenue</t>
  </si>
  <si>
    <t>Cost of sales</t>
  </si>
  <si>
    <t>Gross profit</t>
  </si>
  <si>
    <t>Distribution cost</t>
  </si>
  <si>
    <t>Administrative Expenses</t>
  </si>
  <si>
    <t>Operatng profit</t>
  </si>
  <si>
    <t>Share of profit and income from associates</t>
  </si>
  <si>
    <t>Operatng profit and Income from associate</t>
  </si>
  <si>
    <t>Investing income (Including dividend income)</t>
  </si>
  <si>
    <t>Finances cost</t>
  </si>
  <si>
    <t>Profit before tax</t>
  </si>
  <si>
    <t>Other comprehensive income:</t>
  </si>
  <si>
    <t>Fair Value gain on financial assets</t>
  </si>
  <si>
    <t>Gain on revaluation of property</t>
  </si>
  <si>
    <t>Income Expense tax</t>
  </si>
  <si>
    <t>Profit of the year</t>
  </si>
  <si>
    <t>Total Comprehensive income for the year</t>
  </si>
  <si>
    <t>Additional information:</t>
  </si>
  <si>
    <t>1) During the year ended 31 October 2021, H Limited disposed of its entire 80% equity holding in S Limited for Sh.310 millions in cash.</t>
  </si>
  <si>
    <t>The carrying amounts of the identifiable net assets of S Limited at the disposal date comprised:</t>
  </si>
  <si>
    <t>Property, plant and eqipment</t>
  </si>
  <si>
    <t>Trade receivable</t>
  </si>
  <si>
    <t>Cash and Cash equivalent</t>
  </si>
  <si>
    <t>Trade payables</t>
  </si>
  <si>
    <t>Deferred tax liablities</t>
  </si>
  <si>
    <t>QUESTION 6</t>
  </si>
  <si>
    <t xml:space="preserve">    1,320,000 equity shares in Rudisha Ltd at a cost of Sh.27,300,000 when the retained earnings
   of rudisha limited were Sh.12,500,000.</t>
  </si>
  <si>
    <t xml:space="preserve">    50% of Rudisha Ltd's 12% debentures at par.</t>
  </si>
  <si>
    <t>The statement of financial position of the two companies as at 31 March 2020 were as follows:</t>
  </si>
  <si>
    <t>Ambaza</t>
  </si>
  <si>
    <t>Rudisha</t>
  </si>
  <si>
    <t>Sh."000"</t>
  </si>
  <si>
    <t>Property, plant and equipment</t>
  </si>
  <si>
    <t>Investments</t>
  </si>
  <si>
    <t>Current assest</t>
  </si>
  <si>
    <t>Accounts recievable</t>
  </si>
  <si>
    <t>Bank</t>
  </si>
  <si>
    <t>_</t>
  </si>
  <si>
    <t>Total assets</t>
  </si>
  <si>
    <t>Equity and liablilities</t>
  </si>
  <si>
    <t>Equity and reserves:</t>
  </si>
  <si>
    <t>Ordinary share capital (Sh. 10 each)</t>
  </si>
  <si>
    <t xml:space="preserve">Non-current liabilities </t>
  </si>
  <si>
    <t>12% debentures</t>
  </si>
  <si>
    <t>Current liabilities</t>
  </si>
  <si>
    <t xml:space="preserve">Accounts payable </t>
  </si>
  <si>
    <t>Taxation</t>
  </si>
  <si>
    <t>Dividends</t>
  </si>
  <si>
    <t>Bank Overdraft</t>
  </si>
  <si>
    <t>Additional information</t>
  </si>
  <si>
    <r>
      <rPr>
        <b/>
        <sz val="12"/>
        <color theme="1"/>
        <rFont val="Times New Roman"/>
        <family val="1"/>
      </rPr>
      <t>1</t>
    </r>
    <r>
      <rPr>
        <sz val="12"/>
        <color theme="1"/>
        <rFont val="Times New Roman"/>
        <family val="1"/>
      </rPr>
      <t>. The fair value of rudisha Ltd's assets at ther date of acquisition was equal to their carrying 
    value except for an item of plant which has a fair value of Sh. 1,  600,000 in excess of it's
    carrying value.The plant had a remaining useful life of 4 years</t>
    </r>
  </si>
  <si>
    <r>
      <rPr>
        <b/>
        <sz val="12"/>
        <color theme="1"/>
        <rFont val="Times New Roman"/>
        <family val="1"/>
      </rPr>
      <t>2</t>
    </r>
    <r>
      <rPr>
        <sz val="12"/>
        <color theme="1"/>
        <rFont val="Times New Roman"/>
        <family val="1"/>
      </rPr>
      <t>. On 15  March  2020,  Rudisha Ltd. sold goods to Ambaza Ltd for Sh. 700,000. all on credit
    terms.The goods had not beenrecieved by the company as at 31 March 2020 and were not                                                                                                                      included in losing inventory.No entry had had been made in the books of Ambaza lLtd in respect
 if this transactin. Rudisha Ltd sells goods to all customers at a standard mark up of 16 2/3%</t>
    </r>
  </si>
  <si>
    <r>
      <rPr>
        <b/>
        <sz val="12"/>
        <color theme="1"/>
        <rFont val="Times New Roman"/>
        <family val="1"/>
      </rPr>
      <t xml:space="preserve">3. </t>
    </r>
    <r>
      <rPr>
        <sz val="12"/>
        <color theme="1"/>
        <rFont val="Times New Roman"/>
        <family val="1"/>
      </rPr>
      <t>As at 31 March 2020,the account payable of Ambaza Ltd . Included Sh. 750,000 due to 
    Rudisha Ltd. before taking in to account the above tarnsaction.</t>
    </r>
  </si>
  <si>
    <r>
      <t>4</t>
    </r>
    <r>
      <rPr>
        <sz val="12"/>
        <color theme="1"/>
        <rFont val="Times New Roman"/>
        <family val="1"/>
      </rPr>
      <t>. Ambaza Ltd had not accounted for dividend recievable from Rudisha Ltd.</t>
    </r>
  </si>
  <si>
    <r>
      <t>5.</t>
    </r>
    <r>
      <rPr>
        <sz val="12"/>
        <color theme="1"/>
        <rFont val="Times New Roman"/>
        <family val="1"/>
      </rPr>
      <t xml:space="preserve"> Good will arising on acquisition of Rudisha Ltd. Was considered impaired by 20% as at 31
    March 2020</t>
    </r>
  </si>
  <si>
    <r>
      <t xml:space="preserve">6. </t>
    </r>
    <r>
      <rPr>
        <sz val="12"/>
        <color theme="1"/>
        <rFont val="Times New Roman"/>
        <family val="1"/>
      </rPr>
      <t>The fair value attributable to non-controling interest amounted to Sh. 6, 800,000</t>
    </r>
  </si>
  <si>
    <t>Required</t>
  </si>
  <si>
    <t>Cosolidated statement of financial position as at 31 March 2020</t>
  </si>
  <si>
    <t>required</t>
  </si>
  <si>
    <t xml:space="preserve">4) H Limited disposed of plant with a carrying amount sh 440 million for cash proceeds of Sh.560 million. The gain on disposal is included in administrative expeses. Depreciation charged to profit or loss during the year ended 31 October 2021 was Sh.260 million. </t>
  </si>
  <si>
    <t>5) The following schedule relates to the financial assets  at fair value through  other comprehensive income held by H Limited</t>
  </si>
  <si>
    <t>Group statement of cashflows for the year ended 31 october 2021</t>
  </si>
  <si>
    <t>H LIMITED</t>
  </si>
  <si>
    <t>GROUP STATEMENT OF CASHFLOWS FOR THE YEAR ENDED 31 OCT 2021</t>
  </si>
  <si>
    <t>OPERATING ACTIVITIES</t>
  </si>
  <si>
    <t>Depreciation</t>
  </si>
  <si>
    <t>gain on disposal of plant</t>
  </si>
  <si>
    <t>goodwill disposed</t>
  </si>
  <si>
    <t>gain on disposal</t>
  </si>
  <si>
    <t>gain on disposal of subsidiary</t>
  </si>
  <si>
    <t>goodwill Impaired</t>
  </si>
  <si>
    <t>impairement of other intangible assets</t>
  </si>
  <si>
    <t>cashflow before working capital</t>
  </si>
  <si>
    <t>working capital</t>
  </si>
  <si>
    <t>cashflow before tax</t>
  </si>
  <si>
    <t>tax paid</t>
  </si>
  <si>
    <t>cashflow from operating activities</t>
  </si>
  <si>
    <t>INVESTING ACTIVITIES</t>
  </si>
  <si>
    <t>disposal proceeds-plant</t>
  </si>
  <si>
    <t>disposal proceeds-financial asset</t>
  </si>
  <si>
    <t>disposal of subsidiary</t>
  </si>
  <si>
    <t>investment income</t>
  </si>
  <si>
    <t>dividend received from associate</t>
  </si>
  <si>
    <t>acuisition of ppe</t>
  </si>
  <si>
    <t>acuisition of financial asset</t>
  </si>
  <si>
    <t>cashflow from investing activities</t>
  </si>
  <si>
    <t>FINANCING ACTIVITIES</t>
  </si>
  <si>
    <t>Issue of shares</t>
  </si>
  <si>
    <t>dividend paid by holding company</t>
  </si>
  <si>
    <t>dividend paid by NCI</t>
  </si>
  <si>
    <t>Cashflow from financing activities</t>
  </si>
  <si>
    <t>cashflow for the year</t>
  </si>
  <si>
    <t>closing cash and cash equivalent</t>
  </si>
  <si>
    <t>opening cash and cash equivalent</t>
  </si>
  <si>
    <t xml:space="preserve">AMBAZA LTD </t>
  </si>
  <si>
    <t>CONSOLIDATED STATEMENT OF FINANCIAL POSITION AS AT 31MARCH 2020</t>
  </si>
  <si>
    <t>WORKINGS</t>
  </si>
  <si>
    <t>On 1 April 2018, Ambaza Ltd. Acquired the following investments:</t>
  </si>
  <si>
    <t>fair value dep</t>
  </si>
  <si>
    <t>fair value gain</t>
  </si>
  <si>
    <t>"sh000"</t>
  </si>
  <si>
    <t>goodwill</t>
  </si>
  <si>
    <t>purchase consideration</t>
  </si>
  <si>
    <t>fair vaue NCI</t>
  </si>
  <si>
    <t>goodwill impaired</t>
  </si>
  <si>
    <t>goodwill unimpaired</t>
  </si>
  <si>
    <t>upcs</t>
  </si>
  <si>
    <t>attributable to holding company</t>
  </si>
  <si>
    <t>NCI share of net assets</t>
  </si>
  <si>
    <t>shareholders wealth</t>
  </si>
  <si>
    <t>Total capital and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</si>
</sst>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Black]\(#,##0\)"/>
  </numFmts>
  <fonts count="11"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u val="singleAccounting"/>
      <sz val="12"/>
      <color theme="1"/>
      <name val="Times New Roman"/>
      <family val="1"/>
    </font>
    <font>
      <u/>
      <sz val="12"/>
      <color theme="1"/>
      <name val="Times New Roman"/>
      <family val="1"/>
    </font>
    <font>
      <u val="double"/>
      <sz val="12"/>
      <color theme="1"/>
      <name val="Times New Roman"/>
      <family val="1"/>
    </font>
    <font>
      <b/>
      <u val="double"/>
      <sz val="12"/>
      <color theme="1"/>
      <name val="Times New Roman"/>
      <family val="1"/>
    </font>
    <font>
      <sz val="11"/>
      <color theme="1" tint="4.9989318521683403E-2"/>
      <name val="Calibri"/>
      <family val="2"/>
      <scheme val="minor"/>
    </font>
    <font>
      <sz val="12"/>
      <color theme="1" tint="4.9989318521683403E-2"/>
      <name val="Times New Roman"/>
      <family val="1"/>
    </font>
    <font>
      <sz val="12"/>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xf numFmtId="0" fontId="2" fillId="0" borderId="1" xfId="0" applyFont="1" applyBorder="1"/>
    <xf numFmtId="0" fontId="5" fillId="0" borderId="1" xfId="0" applyFont="1" applyBorder="1"/>
    <xf numFmtId="0" fontId="6" fillId="0" borderId="1" xfId="0" applyFont="1" applyBorder="1"/>
    <xf numFmtId="164" fontId="3" fillId="0" borderId="0" xfId="0" applyNumberFormat="1" applyFont="1" applyBorder="1"/>
    <xf numFmtId="164" fontId="2" fillId="0" borderId="0" xfId="0" applyNumberFormat="1" applyFont="1" applyBorder="1"/>
    <xf numFmtId="0" fontId="0" fillId="0" borderId="0" xfId="0" applyFont="1"/>
    <xf numFmtId="164" fontId="2" fillId="0" borderId="0" xfId="0" applyNumberFormat="1" applyFont="1"/>
    <xf numFmtId="0" fontId="2" fillId="0" borderId="0" xfId="0" applyFont="1" applyAlignment="1">
      <alignment horizontal="center"/>
    </xf>
    <xf numFmtId="0" fontId="3" fillId="0" borderId="1" xfId="0" applyFont="1" applyBorder="1"/>
    <xf numFmtId="12" fontId="2" fillId="0" borderId="0" xfId="0" applyNumberFormat="1" applyFont="1"/>
    <xf numFmtId="12" fontId="2" fillId="0" borderId="1" xfId="0" applyNumberFormat="1" applyFont="1" applyBorder="1"/>
    <xf numFmtId="12" fontId="0" fillId="0" borderId="0" xfId="0" applyNumberFormat="1"/>
    <xf numFmtId="0" fontId="2" fillId="0" borderId="1" xfId="0" applyNumberFormat="1" applyFont="1" applyBorder="1"/>
    <xf numFmtId="12" fontId="3" fillId="0" borderId="0" xfId="0" applyNumberFormat="1" applyFont="1" applyBorder="1"/>
    <xf numFmtId="12" fontId="2" fillId="0" borderId="0" xfId="0" applyNumberFormat="1" applyFont="1" applyBorder="1"/>
    <xf numFmtId="0" fontId="2" fillId="0" borderId="0" xfId="0" applyNumberFormat="1" applyFont="1" applyBorder="1"/>
    <xf numFmtId="0" fontId="2" fillId="0" borderId="0" xfId="0" applyNumberFormat="1" applyFont="1" applyBorder="1" applyAlignment="1"/>
    <xf numFmtId="0" fontId="2" fillId="0" borderId="0" xfId="0" applyFont="1" applyBorder="1"/>
    <xf numFmtId="0" fontId="3" fillId="0" borderId="0" xfId="0" applyFont="1" applyBorder="1"/>
    <xf numFmtId="164" fontId="2" fillId="0" borderId="0" xfId="1" applyNumberFormat="1" applyFont="1" applyBorder="1"/>
    <xf numFmtId="12" fontId="2" fillId="0" borderId="0" xfId="1" applyNumberFormat="1" applyFont="1" applyBorder="1"/>
    <xf numFmtId="164" fontId="4" fillId="0" borderId="0" xfId="1" applyNumberFormat="1" applyFont="1" applyBorder="1"/>
    <xf numFmtId="12" fontId="4" fillId="0" borderId="0" xfId="1" applyNumberFormat="1" applyFont="1" applyBorder="1"/>
    <xf numFmtId="3" fontId="2" fillId="0" borderId="0" xfId="0" applyNumberFormat="1" applyFont="1"/>
    <xf numFmtId="3" fontId="2" fillId="0" borderId="0" xfId="0" applyNumberFormat="1" applyFont="1" applyAlignment="1"/>
    <xf numFmtId="3" fontId="2" fillId="0" borderId="1" xfId="0" applyNumberFormat="1" applyFont="1" applyBorder="1"/>
    <xf numFmtId="3" fontId="3" fillId="0" borderId="1" xfId="0" applyNumberFormat="1" applyFont="1" applyBorder="1" applyAlignment="1">
      <alignment horizontal="center"/>
    </xf>
    <xf numFmtId="3" fontId="3" fillId="0" borderId="1" xfId="0" applyNumberFormat="1" applyFont="1" applyBorder="1"/>
    <xf numFmtId="3" fontId="2" fillId="0" borderId="1" xfId="0" applyNumberFormat="1" applyFont="1" applyBorder="1" applyAlignment="1">
      <alignment horizontal="center"/>
    </xf>
    <xf numFmtId="3" fontId="5" fillId="0" borderId="1" xfId="0" applyNumberFormat="1" applyFont="1" applyBorder="1" applyAlignment="1">
      <alignment horizontal="center"/>
    </xf>
    <xf numFmtId="3" fontId="7" fillId="0" borderId="1" xfId="0" applyNumberFormat="1" applyFont="1" applyBorder="1" applyAlignment="1">
      <alignment horizontal="center"/>
    </xf>
    <xf numFmtId="3" fontId="2" fillId="0" borderId="0" xfId="0" applyNumberFormat="1" applyFont="1" applyBorder="1"/>
    <xf numFmtId="3" fontId="2" fillId="0" borderId="0" xfId="0" applyNumberFormat="1" applyFont="1" applyBorder="1" applyAlignment="1">
      <alignment horizontal="center"/>
    </xf>
    <xf numFmtId="3" fontId="3" fillId="0" borderId="0" xfId="0" applyNumberFormat="1" applyFont="1" applyBorder="1"/>
    <xf numFmtId="3" fontId="3" fillId="0" borderId="0" xfId="0" applyNumberFormat="1" applyFont="1"/>
    <xf numFmtId="3" fontId="2" fillId="0" borderId="0" xfId="0" applyNumberFormat="1" applyFont="1" applyAlignment="1">
      <alignment horizontal="center"/>
    </xf>
    <xf numFmtId="0" fontId="2" fillId="0" borderId="5" xfId="0" applyNumberFormat="1" applyFont="1" applyBorder="1"/>
    <xf numFmtId="0" fontId="3" fillId="0" borderId="0" xfId="0" applyFont="1"/>
    <xf numFmtId="0" fontId="3" fillId="0" borderId="1" xfId="0" applyNumberFormat="1" applyFont="1" applyBorder="1"/>
    <xf numFmtId="165" fontId="8" fillId="0" borderId="0" xfId="0" applyNumberFormat="1" applyFont="1"/>
    <xf numFmtId="165" fontId="0" fillId="0" borderId="0" xfId="0" applyNumberFormat="1"/>
    <xf numFmtId="165" fontId="9" fillId="0" borderId="0" xfId="0" applyNumberFormat="1" applyFont="1"/>
    <xf numFmtId="165" fontId="2" fillId="0" borderId="0" xfId="0" applyNumberFormat="1" applyFont="1"/>
    <xf numFmtId="165" fontId="3" fillId="0" borderId="0" xfId="0" applyNumberFormat="1" applyFont="1"/>
    <xf numFmtId="165" fontId="3" fillId="0" borderId="5" xfId="0" applyNumberFormat="1" applyFont="1" applyBorder="1"/>
    <xf numFmtId="165" fontId="3" fillId="0" borderId="6" xfId="0" applyNumberFormat="1" applyFont="1" applyBorder="1"/>
    <xf numFmtId="0" fontId="3" fillId="0" borderId="0" xfId="0" applyFont="1" applyAlignment="1">
      <alignment horizontal="center"/>
    </xf>
    <xf numFmtId="0" fontId="2" fillId="0" borderId="1" xfId="0" applyFont="1" applyBorder="1" applyAlignment="1">
      <alignment horizontal="center"/>
    </xf>
    <xf numFmtId="0" fontId="2" fillId="0" borderId="0" xfId="0" applyFont="1" applyBorder="1" applyAlignment="1">
      <alignment horizontal="left"/>
    </xf>
    <xf numFmtId="0" fontId="3" fillId="0" borderId="0" xfId="0" applyFont="1" applyAlignment="1">
      <alignment horizontal="center" wrapText="1"/>
    </xf>
    <xf numFmtId="0" fontId="2" fillId="0" borderId="0"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left" wrapText="1"/>
    </xf>
    <xf numFmtId="0" fontId="2" fillId="0" borderId="0" xfId="0" applyFont="1" applyAlignment="1">
      <alignment horizontal="center"/>
    </xf>
    <xf numFmtId="0" fontId="0" fillId="0" borderId="0" xfId="0" applyBorder="1" applyAlignment="1">
      <alignment horizontal="left"/>
    </xf>
    <xf numFmtId="0" fontId="2" fillId="0" borderId="0" xfId="0" applyFont="1" applyAlignment="1">
      <alignment wrapText="1"/>
    </xf>
    <xf numFmtId="3" fontId="2" fillId="0" borderId="0" xfId="0" applyNumberFormat="1" applyFont="1" applyAlignment="1">
      <alignment horizontal="left" vertical="top"/>
    </xf>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left" vertical="top" wrapText="1"/>
    </xf>
    <xf numFmtId="3" fontId="2" fillId="0" borderId="0" xfId="0" applyNumberFormat="1" applyFont="1" applyAlignment="1">
      <alignment horizontal="left"/>
    </xf>
    <xf numFmtId="3" fontId="2" fillId="0" borderId="0" xfId="0" applyNumberFormat="1" applyFont="1" applyAlignment="1">
      <alignment horizontal="center"/>
    </xf>
    <xf numFmtId="3" fontId="2" fillId="0" borderId="0" xfId="0" applyNumberFormat="1" applyFont="1" applyBorder="1" applyAlignment="1">
      <alignment horizontal="center"/>
    </xf>
    <xf numFmtId="3" fontId="2" fillId="0" borderId="0" xfId="0" applyNumberFormat="1" applyFont="1" applyBorder="1" applyAlignment="1">
      <alignment horizontal="left" wrapText="1"/>
    </xf>
    <xf numFmtId="3" fontId="2" fillId="0" borderId="0" xfId="0" applyNumberFormat="1" applyFont="1" applyBorder="1" applyAlignment="1">
      <alignment horizontal="left"/>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left" vertical="top"/>
    </xf>
    <xf numFmtId="3" fontId="2" fillId="0" borderId="0" xfId="0" applyNumberFormat="1" applyFont="1" applyBorder="1" applyAlignment="1">
      <alignment horizontal="left" vertical="top" wrapText="1"/>
    </xf>
    <xf numFmtId="3" fontId="2" fillId="0" borderId="0" xfId="0" applyNumberFormat="1" applyFont="1" applyBorder="1" applyAlignment="1">
      <alignment horizontal="left" vertical="top"/>
    </xf>
    <xf numFmtId="3" fontId="3" fillId="0" borderId="0" xfId="0" applyNumberFormat="1" applyFont="1" applyBorder="1" applyAlignment="1">
      <alignment horizontal="left"/>
    </xf>
    <xf numFmtId="3" fontId="3" fillId="0" borderId="0" xfId="0" applyNumberFormat="1" applyFont="1" applyBorder="1" applyAlignment="1">
      <alignment horizontal="left" wrapText="1"/>
    </xf>
    <xf numFmtId="0" fontId="10" fillId="0" borderId="0" xfId="0" applyFont="1"/>
    <xf numFmtId="0" fontId="3" fillId="0" borderId="0" xfId="0" applyFont="1" applyAlignment="1"/>
    <xf numFmtId="3" fontId="2" fillId="0" borderId="5" xfId="0" applyNumberFormat="1" applyFont="1" applyBorder="1"/>
    <xf numFmtId="165" fontId="2" fillId="0" borderId="0" xfId="0" applyNumberFormat="1" applyFont="1" applyAlignment="1"/>
    <xf numFmtId="165" fontId="2" fillId="0" borderId="5" xfId="0" applyNumberFormat="1" applyFont="1" applyBorder="1"/>
    <xf numFmtId="165" fontId="3" fillId="0" borderId="3" xfId="0" applyNumberFormat="1" applyFont="1" applyBorder="1"/>
    <xf numFmtId="165" fontId="2" fillId="0" borderId="0" xfId="0" applyNumberFormat="1" applyFont="1" applyBorder="1"/>
    <xf numFmtId="3" fontId="3" fillId="0" borderId="5" xfId="0" applyNumberFormat="1" applyFont="1" applyBorder="1"/>
    <xf numFmtId="3" fontId="3" fillId="0" borderId="6" xfId="0" applyNumberFormat="1" applyFont="1" applyBorder="1"/>
    <xf numFmtId="3" fontId="7" fillId="0" borderId="0"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2</xdr:row>
      <xdr:rowOff>76200</xdr:rowOff>
    </xdr:from>
    <xdr:to>
      <xdr:col>0</xdr:col>
      <xdr:colOff>121919</xdr:colOff>
      <xdr:row>2</xdr:row>
      <xdr:rowOff>152400</xdr:rowOff>
    </xdr:to>
    <xdr:sp macro="" textlink="">
      <xdr:nvSpPr>
        <xdr:cNvPr id="4" name="Oval 3"/>
        <xdr:cNvSpPr/>
      </xdr:nvSpPr>
      <xdr:spPr>
        <a:xfrm>
          <a:off x="76200" y="476250"/>
          <a:ext cx="45719" cy="7620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t>zzzz</a:t>
          </a:r>
        </a:p>
      </xdr:txBody>
    </xdr:sp>
    <xdr:clientData/>
  </xdr:twoCellAnchor>
  <xdr:twoCellAnchor>
    <xdr:from>
      <xdr:col>0</xdr:col>
      <xdr:colOff>76200</xdr:colOff>
      <xdr:row>3</xdr:row>
      <xdr:rowOff>76200</xdr:rowOff>
    </xdr:from>
    <xdr:to>
      <xdr:col>0</xdr:col>
      <xdr:colOff>121919</xdr:colOff>
      <xdr:row>3</xdr:row>
      <xdr:rowOff>133350</xdr:rowOff>
    </xdr:to>
    <xdr:sp macro="" textlink="">
      <xdr:nvSpPr>
        <xdr:cNvPr id="5" name="Oval 4"/>
        <xdr:cNvSpPr/>
      </xdr:nvSpPr>
      <xdr:spPr>
        <a:xfrm>
          <a:off x="76200" y="895350"/>
          <a:ext cx="45719" cy="57150"/>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t>zzzz</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topLeftCell="A19" workbookViewId="0">
      <selection activeCell="K40" sqref="K40"/>
    </sheetView>
  </sheetViews>
  <sheetFormatPr defaultRowHeight="15" x14ac:dyDescent="0.25"/>
  <cols>
    <col min="5" max="5" width="10.5703125" bestFit="1" customWidth="1"/>
    <col min="6" max="6" width="19" style="13" customWidth="1"/>
    <col min="7" max="7" width="13.5703125" bestFit="1" customWidth="1"/>
    <col min="16" max="16" width="9.140625" style="41"/>
    <col min="17" max="17" width="9.140625" style="42"/>
  </cols>
  <sheetData>
    <row r="1" spans="1:19" ht="15.75" x14ac:dyDescent="0.25">
      <c r="A1" s="1" t="s">
        <v>0</v>
      </c>
      <c r="B1" s="1"/>
      <c r="C1" s="1"/>
      <c r="D1" s="1"/>
      <c r="E1" s="1"/>
      <c r="F1" s="11"/>
      <c r="G1" s="1"/>
      <c r="H1" s="1"/>
      <c r="I1" s="1"/>
      <c r="J1" s="1"/>
      <c r="K1" s="1"/>
      <c r="L1" s="1"/>
    </row>
    <row r="2" spans="1:19" ht="15.75" x14ac:dyDescent="0.25">
      <c r="A2" s="1"/>
      <c r="B2" s="1"/>
      <c r="C2" s="1"/>
      <c r="D2" s="1"/>
      <c r="E2" s="1"/>
      <c r="F2" s="11"/>
      <c r="G2" s="1"/>
      <c r="H2" s="1"/>
      <c r="I2" s="1"/>
      <c r="J2" s="1"/>
      <c r="K2" s="1"/>
      <c r="L2" s="1"/>
      <c r="M2" s="1"/>
      <c r="N2" s="1"/>
      <c r="O2" s="1"/>
      <c r="P2" s="43"/>
      <c r="Q2" s="44"/>
      <c r="R2" s="1"/>
      <c r="S2" s="1"/>
    </row>
    <row r="3" spans="1:19" ht="15.75" x14ac:dyDescent="0.25">
      <c r="A3" s="1"/>
      <c r="B3" s="1"/>
      <c r="C3" s="1" t="s">
        <v>1</v>
      </c>
      <c r="D3" s="1"/>
      <c r="E3" s="1"/>
      <c r="F3" s="11"/>
      <c r="G3" s="1"/>
      <c r="H3" s="1"/>
      <c r="I3" s="1"/>
      <c r="J3" s="1"/>
      <c r="K3" s="1"/>
      <c r="L3" s="48" t="s">
        <v>104</v>
      </c>
      <c r="M3" s="48"/>
      <c r="N3" s="48"/>
      <c r="O3" s="48"/>
      <c r="P3" s="48"/>
      <c r="Q3" s="48"/>
      <c r="R3" s="48"/>
      <c r="S3" s="1"/>
    </row>
    <row r="4" spans="1:19" ht="15.75" x14ac:dyDescent="0.25">
      <c r="A4" s="19"/>
      <c r="B4" s="19"/>
      <c r="C4" s="19"/>
      <c r="D4" s="19"/>
      <c r="E4" s="19">
        <v>2021</v>
      </c>
      <c r="F4" s="16">
        <v>2020</v>
      </c>
      <c r="G4" s="1"/>
      <c r="H4" s="1"/>
      <c r="I4" s="1"/>
      <c r="J4" s="1"/>
      <c r="K4" s="48" t="s">
        <v>105</v>
      </c>
      <c r="L4" s="48"/>
      <c r="M4" s="48"/>
      <c r="N4" s="48"/>
      <c r="O4" s="48"/>
      <c r="P4" s="48"/>
      <c r="Q4" s="48"/>
      <c r="R4" s="48"/>
      <c r="S4" s="48"/>
    </row>
    <row r="5" spans="1:19" ht="15.75" x14ac:dyDescent="0.25">
      <c r="A5" s="19"/>
      <c r="B5" s="19"/>
      <c r="C5" s="19"/>
      <c r="D5" s="19"/>
      <c r="E5" s="19" t="s">
        <v>2</v>
      </c>
      <c r="F5" s="16" t="s">
        <v>2</v>
      </c>
      <c r="G5" s="1"/>
      <c r="H5" s="1"/>
      <c r="I5" s="1"/>
      <c r="J5" s="1"/>
      <c r="K5" s="39" t="s">
        <v>106</v>
      </c>
      <c r="L5" s="1"/>
      <c r="M5" s="1"/>
      <c r="N5" s="1"/>
      <c r="O5" s="1"/>
      <c r="P5" s="43"/>
      <c r="Q5" s="44"/>
      <c r="R5" s="1"/>
      <c r="S5" s="1"/>
    </row>
    <row r="6" spans="1:19" ht="15.75" x14ac:dyDescent="0.25">
      <c r="A6" s="20" t="s">
        <v>3</v>
      </c>
      <c r="B6" s="19"/>
      <c r="C6" s="19"/>
      <c r="D6" s="19"/>
      <c r="E6" s="19"/>
      <c r="F6" s="16"/>
      <c r="G6" s="1"/>
      <c r="H6" s="1"/>
      <c r="I6" s="1"/>
      <c r="J6" s="1"/>
      <c r="K6" s="1" t="str">
        <f>A46</f>
        <v>Profit before tax</v>
      </c>
      <c r="L6" s="1"/>
      <c r="M6" s="1"/>
      <c r="N6" s="1"/>
      <c r="O6" s="1"/>
      <c r="P6" s="43"/>
      <c r="Q6" s="44">
        <f>F46</f>
        <v>1675</v>
      </c>
      <c r="R6" s="1"/>
      <c r="S6" s="1"/>
    </row>
    <row r="7" spans="1:19" ht="15.75" x14ac:dyDescent="0.25">
      <c r="A7" s="19" t="s">
        <v>4</v>
      </c>
      <c r="B7" s="19"/>
      <c r="C7" s="19"/>
      <c r="D7" s="19"/>
      <c r="E7" s="19"/>
      <c r="F7" s="16"/>
      <c r="G7" s="1"/>
      <c r="H7" s="1"/>
      <c r="I7" s="1"/>
      <c r="J7" s="1"/>
      <c r="K7" s="1" t="str">
        <f>A45</f>
        <v>Finances cost</v>
      </c>
      <c r="L7" s="1"/>
      <c r="M7" s="1"/>
      <c r="N7" s="1"/>
      <c r="O7" s="1"/>
      <c r="P7" s="43">
        <f>-F45</f>
        <v>100</v>
      </c>
      <c r="Q7" s="44"/>
      <c r="R7" s="1"/>
      <c r="S7" s="1"/>
    </row>
    <row r="8" spans="1:19" ht="15.75" x14ac:dyDescent="0.25">
      <c r="A8" s="19" t="s">
        <v>5</v>
      </c>
      <c r="B8" s="19"/>
      <c r="C8" s="19"/>
      <c r="D8" s="19"/>
      <c r="E8" s="21">
        <v>4275</v>
      </c>
      <c r="F8" s="22">
        <v>4185</v>
      </c>
      <c r="G8" s="1"/>
      <c r="H8" s="1"/>
      <c r="I8" s="1"/>
      <c r="J8" s="1"/>
      <c r="K8" s="1" t="str">
        <f>A44</f>
        <v>Investing income (Including dividend income)</v>
      </c>
      <c r="L8" s="1"/>
      <c r="M8" s="1"/>
      <c r="N8" s="1"/>
      <c r="O8" s="1"/>
      <c r="P8" s="43">
        <f>-F44</f>
        <v>-270</v>
      </c>
      <c r="Q8" s="44"/>
      <c r="R8" s="1"/>
      <c r="S8" s="1"/>
    </row>
    <row r="9" spans="1:19" ht="15.75" x14ac:dyDescent="0.25">
      <c r="A9" s="19" t="s">
        <v>6</v>
      </c>
      <c r="B9" s="19"/>
      <c r="C9" s="19"/>
      <c r="D9" s="19"/>
      <c r="E9" s="21">
        <v>945</v>
      </c>
      <c r="F9" s="22">
        <v>1080</v>
      </c>
      <c r="G9" s="1"/>
      <c r="H9" s="1"/>
      <c r="I9" s="1"/>
      <c r="J9" s="1"/>
      <c r="K9" s="1" t="str">
        <f>A42</f>
        <v>Share of profit and income from associates</v>
      </c>
      <c r="L9" s="1"/>
      <c r="M9" s="1"/>
      <c r="N9" s="1"/>
      <c r="O9" s="1"/>
      <c r="P9" s="43">
        <f>-F42</f>
        <v>-90</v>
      </c>
      <c r="Q9" s="44"/>
      <c r="R9" s="1"/>
      <c r="S9" s="1"/>
    </row>
    <row r="10" spans="1:19" ht="15.75" x14ac:dyDescent="0.25">
      <c r="A10" s="19" t="s">
        <v>7</v>
      </c>
      <c r="B10" s="19"/>
      <c r="C10" s="19"/>
      <c r="D10" s="19"/>
      <c r="E10" s="21">
        <v>1350</v>
      </c>
      <c r="F10" s="22">
        <v>1800</v>
      </c>
      <c r="G10" s="1"/>
      <c r="H10" s="1"/>
      <c r="I10" s="1"/>
      <c r="J10" s="1"/>
      <c r="K10" s="1" t="s">
        <v>107</v>
      </c>
      <c r="L10" s="1"/>
      <c r="M10" s="1"/>
      <c r="N10" s="1"/>
      <c r="O10" s="1"/>
      <c r="P10" s="43">
        <f>260</f>
        <v>260</v>
      </c>
      <c r="Q10" s="44"/>
      <c r="R10" s="1"/>
      <c r="S10" s="1"/>
    </row>
    <row r="11" spans="1:19" ht="15.75" x14ac:dyDescent="0.25">
      <c r="A11" s="19" t="s">
        <v>8</v>
      </c>
      <c r="B11" s="19"/>
      <c r="C11" s="19"/>
      <c r="D11" s="19"/>
      <c r="E11" s="21">
        <v>720</v>
      </c>
      <c r="F11" s="22">
        <v>810</v>
      </c>
      <c r="G11" s="1"/>
      <c r="H11" s="1"/>
      <c r="I11" s="1"/>
      <c r="J11" s="1"/>
      <c r="K11" s="1" t="s">
        <v>108</v>
      </c>
      <c r="L11" s="1"/>
      <c r="M11" s="1"/>
      <c r="N11" s="1"/>
      <c r="O11" s="1"/>
      <c r="P11" s="43">
        <f>-(560-440)</f>
        <v>-120</v>
      </c>
      <c r="Q11" s="44"/>
      <c r="R11" s="1"/>
      <c r="S11" s="1"/>
    </row>
    <row r="12" spans="1:19" ht="18" x14ac:dyDescent="0.4">
      <c r="A12" s="19" t="s">
        <v>9</v>
      </c>
      <c r="B12" s="19"/>
      <c r="C12" s="19"/>
      <c r="D12" s="19"/>
      <c r="E12" s="23">
        <v>1935</v>
      </c>
      <c r="F12" s="24">
        <v>1620</v>
      </c>
      <c r="G12" s="1"/>
      <c r="H12" s="1"/>
      <c r="I12" s="1"/>
      <c r="J12" s="1"/>
      <c r="K12" s="1" t="s">
        <v>111</v>
      </c>
      <c r="L12" s="1"/>
      <c r="M12" s="1"/>
      <c r="N12" s="1"/>
      <c r="O12" s="1"/>
      <c r="P12" s="43">
        <f>-K62</f>
        <v>-40</v>
      </c>
      <c r="Q12" s="44"/>
      <c r="R12" s="1"/>
      <c r="S12" s="1"/>
    </row>
    <row r="13" spans="1:19" ht="15.75" x14ac:dyDescent="0.25">
      <c r="A13" s="19"/>
      <c r="B13" s="19"/>
      <c r="C13" s="19"/>
      <c r="D13" s="19"/>
      <c r="E13" s="21">
        <v>9225</v>
      </c>
      <c r="F13" s="22">
        <v>9495</v>
      </c>
      <c r="G13" s="1"/>
      <c r="H13" s="1"/>
      <c r="I13" s="1"/>
      <c r="J13" s="1"/>
      <c r="K13" s="1" t="s">
        <v>112</v>
      </c>
      <c r="L13" s="1"/>
      <c r="M13" s="1"/>
      <c r="N13" s="1"/>
      <c r="O13" s="1"/>
      <c r="P13" s="43">
        <f>F9-K60-E9</f>
        <v>105</v>
      </c>
      <c r="Q13" s="44"/>
      <c r="R13" s="1"/>
      <c r="S13" s="1"/>
    </row>
    <row r="14" spans="1:19" ht="15.75" x14ac:dyDescent="0.25">
      <c r="A14" s="20" t="s">
        <v>10</v>
      </c>
      <c r="B14" s="19"/>
      <c r="C14" s="19"/>
      <c r="D14" s="19"/>
      <c r="E14" s="21"/>
      <c r="F14" s="22"/>
      <c r="G14" s="1"/>
      <c r="H14" s="1"/>
      <c r="I14" s="1"/>
      <c r="J14" s="1"/>
      <c r="K14" s="1" t="s">
        <v>113</v>
      </c>
      <c r="L14" s="1"/>
      <c r="M14" s="1"/>
      <c r="N14" s="1"/>
      <c r="O14" s="1"/>
      <c r="P14" s="43">
        <f>F10-E10</f>
        <v>450</v>
      </c>
      <c r="Q14" s="44">
        <f>SUM(P7:P14)</f>
        <v>395</v>
      </c>
      <c r="R14" s="1"/>
      <c r="S14" s="1"/>
    </row>
    <row r="15" spans="1:19" ht="15.75" x14ac:dyDescent="0.25">
      <c r="A15" s="19" t="s">
        <v>11</v>
      </c>
      <c r="B15" s="19"/>
      <c r="C15" s="19"/>
      <c r="D15" s="19"/>
      <c r="E15" s="21">
        <v>1395</v>
      </c>
      <c r="F15" s="22">
        <v>1710</v>
      </c>
      <c r="G15" s="1"/>
      <c r="H15" s="1"/>
      <c r="I15" s="1"/>
      <c r="J15" s="1"/>
      <c r="K15" s="1" t="s">
        <v>114</v>
      </c>
      <c r="L15" s="1"/>
      <c r="M15" s="1"/>
      <c r="N15" s="1"/>
      <c r="O15" s="1"/>
      <c r="P15" s="43"/>
      <c r="Q15" s="46">
        <f>SUM(Q6:Q14)</f>
        <v>2070</v>
      </c>
      <c r="R15" s="1"/>
      <c r="S15" s="1"/>
    </row>
    <row r="16" spans="1:19" ht="15.75" x14ac:dyDescent="0.25">
      <c r="A16" s="19" t="s">
        <v>12</v>
      </c>
      <c r="B16" s="19"/>
      <c r="C16" s="19"/>
      <c r="D16" s="19"/>
      <c r="E16" s="21">
        <v>1125</v>
      </c>
      <c r="F16" s="22">
        <v>1620</v>
      </c>
      <c r="G16" s="1"/>
      <c r="H16" s="1"/>
      <c r="I16" s="1"/>
      <c r="J16" s="1"/>
      <c r="K16" s="39" t="s">
        <v>115</v>
      </c>
      <c r="L16" s="1"/>
      <c r="M16" s="1"/>
      <c r="N16" s="1"/>
      <c r="O16" s="1"/>
      <c r="P16" s="43"/>
      <c r="Q16" s="44"/>
      <c r="R16" s="1"/>
      <c r="S16" s="1"/>
    </row>
    <row r="17" spans="1:19" ht="15.75" x14ac:dyDescent="0.25">
      <c r="A17" s="19" t="s">
        <v>13</v>
      </c>
      <c r="B17" s="19"/>
      <c r="C17" s="19"/>
      <c r="D17" s="19"/>
      <c r="E17" s="21">
        <v>4185</v>
      </c>
      <c r="F17" s="22">
        <v>2745</v>
      </c>
      <c r="G17" s="1"/>
      <c r="H17" s="1"/>
      <c r="I17" s="1"/>
      <c r="J17" s="1"/>
      <c r="K17" s="1" t="str">
        <f>A15</f>
        <v>Inventories</v>
      </c>
      <c r="L17" s="1"/>
      <c r="M17" s="1"/>
      <c r="N17" s="1"/>
      <c r="O17" s="1"/>
      <c r="P17" s="43">
        <f>F15-F60-E15</f>
        <v>225</v>
      </c>
      <c r="Q17" s="44"/>
      <c r="R17" s="1"/>
      <c r="S17" s="1"/>
    </row>
    <row r="18" spans="1:19" ht="15.75" x14ac:dyDescent="0.25">
      <c r="A18" s="20" t="s">
        <v>14</v>
      </c>
      <c r="B18" s="19"/>
      <c r="C18" s="19"/>
      <c r="D18" s="19"/>
      <c r="E18" s="5">
        <f>SUM(E13:E17)</f>
        <v>15930</v>
      </c>
      <c r="F18" s="15">
        <f>SUM(F13:F17)</f>
        <v>15570</v>
      </c>
      <c r="G18" s="1"/>
      <c r="H18" s="1"/>
      <c r="I18" s="1"/>
      <c r="J18" s="1"/>
      <c r="K18" s="1" t="str">
        <f>A16</f>
        <v>Trade Receivable</v>
      </c>
      <c r="L18" s="1"/>
      <c r="M18" s="1"/>
      <c r="N18" s="1"/>
      <c r="O18" s="1"/>
      <c r="P18" s="43">
        <f>F16-F61-E16</f>
        <v>445</v>
      </c>
      <c r="Q18" s="44"/>
      <c r="R18" s="1"/>
      <c r="S18" s="1"/>
    </row>
    <row r="19" spans="1:19" ht="15.75" x14ac:dyDescent="0.25">
      <c r="A19" s="19" t="s">
        <v>26</v>
      </c>
      <c r="B19" s="19"/>
      <c r="C19" s="19"/>
      <c r="D19" s="19"/>
      <c r="E19" s="5"/>
      <c r="F19" s="15"/>
      <c r="G19" s="1"/>
      <c r="H19" s="1"/>
      <c r="I19" s="1"/>
      <c r="J19" s="1"/>
      <c r="K19" s="1" t="str">
        <f>A30</f>
        <v>trade payables</v>
      </c>
      <c r="L19" s="1"/>
      <c r="M19" s="1"/>
      <c r="N19" s="1"/>
      <c r="O19" s="1"/>
      <c r="P19" s="43">
        <f>E30-(F30+F63)</f>
        <v>-745</v>
      </c>
      <c r="Q19" s="44">
        <f>SUM(P17:P19)</f>
        <v>-75</v>
      </c>
      <c r="R19" s="1"/>
      <c r="S19" s="1"/>
    </row>
    <row r="20" spans="1:19" s="7" customFormat="1" ht="15.75" x14ac:dyDescent="0.25">
      <c r="A20" s="19" t="s">
        <v>27</v>
      </c>
      <c r="B20" s="19"/>
      <c r="C20" s="19"/>
      <c r="D20" s="19"/>
      <c r="E20" s="6">
        <v>8000</v>
      </c>
      <c r="F20" s="16">
        <v>6000</v>
      </c>
      <c r="G20" s="1"/>
      <c r="H20" s="1"/>
      <c r="I20" s="1"/>
      <c r="J20" s="1"/>
      <c r="K20" s="1" t="s">
        <v>116</v>
      </c>
      <c r="L20" s="1"/>
      <c r="M20" s="1"/>
      <c r="N20" s="1"/>
      <c r="O20" s="1"/>
      <c r="P20" s="43"/>
      <c r="Q20" s="46">
        <f>SUM(Q15:Q19)</f>
        <v>1995</v>
      </c>
      <c r="R20" s="1"/>
      <c r="S20" s="1"/>
    </row>
    <row r="21" spans="1:19" ht="15.75" x14ac:dyDescent="0.25">
      <c r="A21" s="19" t="s">
        <v>28</v>
      </c>
      <c r="B21" s="19"/>
      <c r="C21" s="19"/>
      <c r="D21" s="19"/>
      <c r="E21" s="19">
        <v>300</v>
      </c>
      <c r="F21" s="16">
        <v>200</v>
      </c>
      <c r="G21" s="1"/>
      <c r="H21" s="1"/>
      <c r="I21" s="1"/>
      <c r="J21" s="1"/>
      <c r="K21" s="1" t="s">
        <v>117</v>
      </c>
      <c r="L21" s="1"/>
      <c r="M21" s="1"/>
      <c r="N21" s="1"/>
      <c r="O21" s="1"/>
      <c r="P21" s="43"/>
      <c r="Q21" s="44">
        <f>(E28+E31-F64)-(F28+F31-F47)</f>
        <v>-1760</v>
      </c>
      <c r="R21" s="1"/>
      <c r="S21" s="1"/>
    </row>
    <row r="22" spans="1:19" ht="15.75" x14ac:dyDescent="0.25">
      <c r="A22" s="19" t="s">
        <v>29</v>
      </c>
      <c r="B22" s="19"/>
      <c r="C22" s="19"/>
      <c r="D22" s="19"/>
      <c r="E22" s="19">
        <v>3715</v>
      </c>
      <c r="F22" s="16">
        <v>3135</v>
      </c>
      <c r="G22" s="1"/>
      <c r="H22" s="1"/>
      <c r="I22" s="1"/>
      <c r="J22" s="1"/>
      <c r="K22" s="39" t="s">
        <v>118</v>
      </c>
      <c r="L22" s="1"/>
      <c r="M22" s="1"/>
      <c r="N22" s="1"/>
      <c r="O22" s="1"/>
      <c r="P22" s="43"/>
      <c r="Q22" s="46">
        <f>SUM(Q20:Q21)</f>
        <v>235</v>
      </c>
      <c r="R22" s="1"/>
      <c r="S22" s="1"/>
    </row>
    <row r="23" spans="1:19" ht="15.75" x14ac:dyDescent="0.25">
      <c r="A23" s="19" t="s">
        <v>30</v>
      </c>
      <c r="B23" s="19"/>
      <c r="C23" s="19"/>
      <c r="D23" s="19"/>
      <c r="E23" s="6">
        <f>SUM(E20:E22)</f>
        <v>12015</v>
      </c>
      <c r="F23" s="16">
        <f>SUM(F20:F22)</f>
        <v>9335</v>
      </c>
      <c r="G23" s="1"/>
      <c r="H23" s="1"/>
      <c r="I23" s="1"/>
      <c r="J23" s="1"/>
      <c r="K23" s="39" t="s">
        <v>119</v>
      </c>
      <c r="L23" s="1"/>
      <c r="M23" s="1"/>
      <c r="N23" s="1"/>
      <c r="O23" s="1"/>
      <c r="P23" s="43"/>
      <c r="Q23" s="44"/>
      <c r="R23" s="1"/>
      <c r="S23" s="1"/>
    </row>
    <row r="24" spans="1:19" ht="15.75" x14ac:dyDescent="0.25">
      <c r="A24" s="19" t="s">
        <v>31</v>
      </c>
      <c r="B24" s="19"/>
      <c r="C24" s="19"/>
      <c r="D24" s="19"/>
      <c r="E24" s="19">
        <v>810</v>
      </c>
      <c r="F24" s="16">
        <v>585</v>
      </c>
      <c r="G24" s="1"/>
      <c r="H24" s="1"/>
      <c r="I24" s="1"/>
      <c r="J24" s="1"/>
      <c r="K24" s="1" t="s">
        <v>120</v>
      </c>
      <c r="L24" s="1"/>
      <c r="M24" s="1"/>
      <c r="N24" s="1"/>
      <c r="O24" s="1"/>
      <c r="P24" s="43">
        <f>560</f>
        <v>560</v>
      </c>
      <c r="Q24" s="44"/>
      <c r="R24" s="1"/>
      <c r="S24" s="1"/>
    </row>
    <row r="25" spans="1:19" ht="15.75" x14ac:dyDescent="0.25">
      <c r="A25" s="19" t="s">
        <v>32</v>
      </c>
      <c r="B25" s="19"/>
      <c r="C25" s="19"/>
      <c r="D25" s="19"/>
      <c r="E25" s="6">
        <f>SUM(E23:E24)</f>
        <v>12825</v>
      </c>
      <c r="F25" s="16">
        <f>SUM(F23:F24)</f>
        <v>9920</v>
      </c>
      <c r="G25" s="1"/>
      <c r="H25" s="1"/>
      <c r="I25" s="1"/>
      <c r="J25" s="1"/>
      <c r="K25" s="1" t="s">
        <v>121</v>
      </c>
      <c r="L25" s="1"/>
      <c r="M25" s="1"/>
      <c r="N25" s="1"/>
      <c r="O25" s="1"/>
      <c r="P25" s="43">
        <v>360</v>
      </c>
      <c r="Q25" s="44"/>
      <c r="R25" s="1"/>
      <c r="S25" s="1"/>
    </row>
    <row r="26" spans="1:19" ht="15.75" x14ac:dyDescent="0.25">
      <c r="A26" s="19" t="s">
        <v>33</v>
      </c>
      <c r="B26" s="19"/>
      <c r="C26" s="19"/>
      <c r="D26" s="19"/>
      <c r="E26" s="6"/>
      <c r="F26" s="16"/>
      <c r="G26" s="1"/>
      <c r="H26" s="1"/>
      <c r="I26" s="1"/>
      <c r="J26" s="1"/>
      <c r="K26" s="1" t="s">
        <v>122</v>
      </c>
      <c r="L26" s="1"/>
      <c r="M26" s="1"/>
      <c r="N26" s="1"/>
      <c r="O26" s="1"/>
      <c r="P26" s="43">
        <f>310-F62</f>
        <v>280</v>
      </c>
      <c r="Q26" s="44"/>
      <c r="R26" s="1"/>
      <c r="S26" s="1"/>
    </row>
    <row r="27" spans="1:19" ht="15.75" x14ac:dyDescent="0.25">
      <c r="A27" s="19" t="s">
        <v>34</v>
      </c>
      <c r="B27" s="19"/>
      <c r="C27" s="19"/>
      <c r="D27" s="19"/>
      <c r="E27" s="6">
        <v>235</v>
      </c>
      <c r="F27" s="16">
        <v>610</v>
      </c>
      <c r="G27" s="1"/>
      <c r="H27" s="1"/>
      <c r="I27" s="1"/>
      <c r="J27" s="1"/>
      <c r="K27" s="1" t="s">
        <v>123</v>
      </c>
      <c r="L27" s="1"/>
      <c r="M27" s="1"/>
      <c r="N27" s="1"/>
      <c r="O27" s="1"/>
      <c r="P27" s="43">
        <f>F44-(360+G79)</f>
        <v>145</v>
      </c>
      <c r="Q27" s="44"/>
      <c r="R27" s="1"/>
      <c r="S27" s="1"/>
    </row>
    <row r="28" spans="1:19" ht="15.75" x14ac:dyDescent="0.25">
      <c r="A28" s="19" t="s">
        <v>35</v>
      </c>
      <c r="B28" s="19"/>
      <c r="C28" s="19"/>
      <c r="D28" s="19"/>
      <c r="E28" s="6">
        <v>315</v>
      </c>
      <c r="F28" s="16">
        <v>880</v>
      </c>
      <c r="G28" s="1"/>
      <c r="H28" s="1"/>
      <c r="I28" s="1"/>
      <c r="J28" s="1"/>
      <c r="K28" s="1" t="s">
        <v>124</v>
      </c>
      <c r="L28" s="1"/>
      <c r="M28" s="1"/>
      <c r="N28" s="1"/>
      <c r="O28" s="1"/>
      <c r="P28" s="43">
        <f>F11+F42-E11</f>
        <v>180</v>
      </c>
      <c r="Q28" s="44"/>
      <c r="R28" s="1"/>
      <c r="S28" s="1"/>
    </row>
    <row r="29" spans="1:19" ht="15.75" x14ac:dyDescent="0.25">
      <c r="A29" s="19" t="s">
        <v>36</v>
      </c>
      <c r="B29" s="19"/>
      <c r="C29" s="19"/>
      <c r="D29" s="19"/>
      <c r="E29" s="6"/>
      <c r="F29" s="16"/>
      <c r="G29" s="1"/>
      <c r="H29" s="1"/>
      <c r="I29" s="1"/>
      <c r="J29" s="1"/>
      <c r="K29" s="1" t="s">
        <v>125</v>
      </c>
      <c r="L29" s="1"/>
      <c r="M29" s="1"/>
      <c r="N29" s="1"/>
      <c r="O29" s="1"/>
      <c r="P29" s="43">
        <f>F8-F59-440-260-E8+F51</f>
        <v>-935</v>
      </c>
      <c r="Q29" s="44"/>
      <c r="R29" s="1"/>
      <c r="S29" s="1"/>
    </row>
    <row r="30" spans="1:19" ht="15.75" x14ac:dyDescent="0.25">
      <c r="A30" s="19" t="s">
        <v>37</v>
      </c>
      <c r="B30" s="19"/>
      <c r="C30" s="19"/>
      <c r="D30" s="19"/>
      <c r="E30" s="19">
        <v>2115</v>
      </c>
      <c r="F30" s="16">
        <v>2920</v>
      </c>
      <c r="G30" s="1"/>
      <c r="H30" s="1"/>
      <c r="I30" s="1"/>
      <c r="J30" s="1"/>
      <c r="K30" s="1" t="s">
        <v>126</v>
      </c>
      <c r="L30" s="1"/>
      <c r="M30" s="1"/>
      <c r="N30" s="1"/>
      <c r="O30" s="1"/>
      <c r="P30" s="43">
        <f>-G80</f>
        <v>-515</v>
      </c>
      <c r="Q30" s="44"/>
      <c r="R30" s="1"/>
      <c r="S30" s="1"/>
    </row>
    <row r="31" spans="1:19" ht="15.75" x14ac:dyDescent="0.25">
      <c r="A31" s="19" t="s">
        <v>38</v>
      </c>
      <c r="B31" s="19"/>
      <c r="C31" s="19"/>
      <c r="D31" s="19"/>
      <c r="E31" s="19">
        <v>440</v>
      </c>
      <c r="F31" s="16">
        <v>1240</v>
      </c>
      <c r="G31" s="1"/>
      <c r="H31" s="1"/>
      <c r="I31" s="1"/>
      <c r="J31" s="1"/>
      <c r="K31" s="39" t="s">
        <v>127</v>
      </c>
      <c r="L31" s="1"/>
      <c r="M31" s="1"/>
      <c r="N31" s="1"/>
      <c r="O31" s="1"/>
      <c r="P31" s="43"/>
      <c r="Q31" s="45">
        <f>SUM(P24:P30)</f>
        <v>75</v>
      </c>
      <c r="R31" s="1"/>
      <c r="S31" s="1"/>
    </row>
    <row r="32" spans="1:19" ht="15.75" x14ac:dyDescent="0.25">
      <c r="A32" s="19" t="s">
        <v>39</v>
      </c>
      <c r="B32" s="19"/>
      <c r="C32" s="19"/>
      <c r="D32" s="19"/>
      <c r="E32" s="6">
        <f>SUM(E25:E31)</f>
        <v>15930</v>
      </c>
      <c r="F32" s="16">
        <f>SUM(F25:F31)</f>
        <v>15570</v>
      </c>
      <c r="G32" s="1"/>
      <c r="H32" s="1"/>
      <c r="I32" s="1"/>
      <c r="J32" s="1"/>
      <c r="K32" s="39" t="s">
        <v>128</v>
      </c>
      <c r="L32" s="1"/>
      <c r="M32" s="1"/>
      <c r="N32" s="1"/>
      <c r="O32" s="1"/>
      <c r="P32" s="43"/>
      <c r="Q32" s="44"/>
      <c r="R32" s="1"/>
      <c r="S32" s="1"/>
    </row>
    <row r="33" spans="1:19" ht="15.75" x14ac:dyDescent="0.25">
      <c r="A33" s="1"/>
      <c r="B33" s="1"/>
      <c r="C33" s="1"/>
      <c r="D33" s="1"/>
      <c r="E33" s="8"/>
      <c r="F33" s="11"/>
      <c r="G33" s="1"/>
      <c r="H33" s="1"/>
      <c r="I33" s="1"/>
      <c r="J33" s="1"/>
      <c r="K33" s="1" t="s">
        <v>129</v>
      </c>
      <c r="L33" s="1"/>
      <c r="M33" s="1"/>
      <c r="N33" s="1"/>
      <c r="O33" s="1"/>
      <c r="P33" s="43">
        <f>E20-F20</f>
        <v>2000</v>
      </c>
      <c r="Q33" s="44"/>
      <c r="R33" s="1"/>
      <c r="S33" s="1"/>
    </row>
    <row r="34" spans="1:19" ht="35.25" customHeight="1" x14ac:dyDescent="0.25">
      <c r="A34" s="1"/>
      <c r="B34" s="1"/>
      <c r="C34" s="51" t="s">
        <v>40</v>
      </c>
      <c r="D34" s="51"/>
      <c r="E34" s="51"/>
      <c r="F34" s="51"/>
      <c r="G34" s="1"/>
      <c r="H34" s="1"/>
      <c r="I34" s="1"/>
      <c r="J34" s="1"/>
      <c r="K34" s="1" t="s">
        <v>130</v>
      </c>
      <c r="L34" s="1"/>
      <c r="M34" s="1"/>
      <c r="N34" s="1"/>
      <c r="O34" s="1"/>
      <c r="P34" s="43">
        <f>-(F22+F48-390-E22)</f>
        <v>-290</v>
      </c>
      <c r="Q34" s="44"/>
      <c r="R34" s="1"/>
      <c r="S34" s="1"/>
    </row>
    <row r="35" spans="1:19" ht="15.75" x14ac:dyDescent="0.25">
      <c r="A35" s="52"/>
      <c r="B35" s="52"/>
      <c r="C35" s="52"/>
      <c r="D35" s="52"/>
      <c r="E35" s="52"/>
      <c r="F35" s="15" t="s">
        <v>41</v>
      </c>
      <c r="G35" s="1"/>
      <c r="H35" s="1"/>
      <c r="I35" s="1"/>
      <c r="J35" s="1"/>
      <c r="K35" s="1" t="s">
        <v>131</v>
      </c>
      <c r="L35" s="1"/>
      <c r="M35" s="1"/>
      <c r="N35" s="1"/>
      <c r="O35" s="1"/>
      <c r="P35" s="43">
        <f>-(F24+390-F65*0.2-E24)</f>
        <v>-105</v>
      </c>
      <c r="Q35" s="44"/>
      <c r="R35" s="1"/>
      <c r="S35" s="1"/>
    </row>
    <row r="36" spans="1:19" ht="15.75" x14ac:dyDescent="0.25">
      <c r="A36" s="50" t="s">
        <v>42</v>
      </c>
      <c r="B36" s="50"/>
      <c r="C36" s="50"/>
      <c r="D36" s="50"/>
      <c r="E36" s="50"/>
      <c r="F36" s="17">
        <v>11140</v>
      </c>
      <c r="G36" s="1"/>
      <c r="H36" s="1"/>
      <c r="I36" s="1"/>
      <c r="J36" s="1"/>
      <c r="K36" s="1" t="str">
        <f>A45</f>
        <v>Finances cost</v>
      </c>
      <c r="L36" s="1"/>
      <c r="M36" s="1"/>
      <c r="N36" s="1"/>
      <c r="O36" s="1"/>
      <c r="P36" s="43">
        <f>F45</f>
        <v>-100</v>
      </c>
      <c r="Q36" s="44"/>
      <c r="R36" s="1"/>
      <c r="S36" s="1"/>
    </row>
    <row r="37" spans="1:19" ht="15.75" x14ac:dyDescent="0.25">
      <c r="A37" s="50" t="s">
        <v>43</v>
      </c>
      <c r="B37" s="50"/>
      <c r="C37" s="50"/>
      <c r="D37" s="50"/>
      <c r="E37" s="50"/>
      <c r="F37" s="17">
        <v>-8870</v>
      </c>
      <c r="G37" s="1"/>
      <c r="H37" s="1"/>
      <c r="I37" s="1"/>
      <c r="J37" s="1"/>
      <c r="K37" s="1" t="str">
        <f>A27</f>
        <v>long term borrowing</v>
      </c>
      <c r="L37" s="1"/>
      <c r="M37" s="1"/>
      <c r="N37" s="1"/>
      <c r="O37" s="1"/>
      <c r="P37" s="43">
        <f>E27-F27</f>
        <v>-375</v>
      </c>
      <c r="Q37" s="44"/>
      <c r="R37" s="1"/>
      <c r="S37" s="1"/>
    </row>
    <row r="38" spans="1:19" ht="15.75" x14ac:dyDescent="0.25">
      <c r="A38" s="50" t="s">
        <v>44</v>
      </c>
      <c r="B38" s="50"/>
      <c r="C38" s="50"/>
      <c r="D38" s="50"/>
      <c r="E38" s="50"/>
      <c r="F38" s="38">
        <f>SUM(F36:F37)</f>
        <v>2270</v>
      </c>
      <c r="G38" s="1"/>
      <c r="H38" s="1"/>
      <c r="I38" s="1"/>
      <c r="J38" s="1"/>
      <c r="K38" s="39" t="s">
        <v>132</v>
      </c>
      <c r="L38" s="1"/>
      <c r="M38" s="1"/>
      <c r="N38" s="1"/>
      <c r="O38" s="1"/>
      <c r="P38" s="43"/>
      <c r="Q38" s="45">
        <f>SUM(P33:P37)</f>
        <v>1130</v>
      </c>
      <c r="R38" s="1"/>
      <c r="S38" s="1"/>
    </row>
    <row r="39" spans="1:19" ht="15.75" x14ac:dyDescent="0.25">
      <c r="A39" s="50" t="s">
        <v>45</v>
      </c>
      <c r="B39" s="50"/>
      <c r="C39" s="50"/>
      <c r="D39" s="50"/>
      <c r="E39" s="50"/>
      <c r="F39" s="17">
        <v>-405</v>
      </c>
      <c r="G39" s="1"/>
      <c r="H39" s="1"/>
      <c r="I39" s="1"/>
      <c r="J39" s="1"/>
      <c r="K39" s="39" t="s">
        <v>133</v>
      </c>
      <c r="L39" s="1"/>
      <c r="M39" s="1"/>
      <c r="N39" s="1"/>
      <c r="O39" s="1"/>
      <c r="P39" s="43"/>
      <c r="Q39" s="46">
        <f>SUM(Q22:Q38)</f>
        <v>1440</v>
      </c>
      <c r="R39" s="1"/>
      <c r="S39" s="1"/>
    </row>
    <row r="40" spans="1:19" ht="15.75" x14ac:dyDescent="0.25">
      <c r="A40" s="50" t="s">
        <v>46</v>
      </c>
      <c r="B40" s="50"/>
      <c r="C40" s="50"/>
      <c r="D40" s="50"/>
      <c r="E40" s="50"/>
      <c r="F40" s="17">
        <v>-450</v>
      </c>
      <c r="G40" s="1"/>
      <c r="H40" s="1"/>
      <c r="I40" s="1"/>
      <c r="J40" s="1"/>
      <c r="K40" s="39" t="s">
        <v>135</v>
      </c>
      <c r="L40" s="1"/>
      <c r="M40" s="1"/>
      <c r="N40" s="1"/>
      <c r="O40" s="1"/>
      <c r="P40" s="43"/>
      <c r="Q40" s="44">
        <f>F17</f>
        <v>2745</v>
      </c>
      <c r="R40" s="1"/>
      <c r="S40" s="1"/>
    </row>
    <row r="41" spans="1:19" ht="16.5" thickBot="1" x14ac:dyDescent="0.3">
      <c r="A41" s="50" t="s">
        <v>47</v>
      </c>
      <c r="B41" s="50"/>
      <c r="C41" s="50"/>
      <c r="D41" s="50"/>
      <c r="E41" s="50"/>
      <c r="F41" s="38">
        <f>SUM(F38:F40)</f>
        <v>1415</v>
      </c>
      <c r="G41" s="1"/>
      <c r="H41" s="1"/>
      <c r="I41" s="1"/>
      <c r="J41" s="1"/>
      <c r="K41" s="39" t="s">
        <v>134</v>
      </c>
      <c r="L41" s="1"/>
      <c r="M41" s="1"/>
      <c r="N41" s="1"/>
      <c r="O41" s="1"/>
      <c r="P41" s="43"/>
      <c r="Q41" s="47">
        <f>E17</f>
        <v>4185</v>
      </c>
      <c r="R41" s="1"/>
      <c r="S41" s="44">
        <f>SUM(Q39:Q40)</f>
        <v>4185</v>
      </c>
    </row>
    <row r="42" spans="1:19" ht="15.75" x14ac:dyDescent="0.25">
      <c r="A42" s="50" t="s">
        <v>48</v>
      </c>
      <c r="B42" s="50"/>
      <c r="C42" s="50"/>
      <c r="D42" s="50"/>
      <c r="E42" s="50"/>
      <c r="F42" s="17">
        <v>90</v>
      </c>
      <c r="G42" s="1"/>
      <c r="H42" s="1"/>
      <c r="I42" s="1"/>
      <c r="J42" s="1"/>
      <c r="K42" s="1"/>
      <c r="L42" s="1"/>
      <c r="M42" s="1"/>
      <c r="N42" s="1"/>
      <c r="O42" s="1"/>
      <c r="P42" s="43"/>
      <c r="Q42" s="44"/>
      <c r="R42" s="1"/>
      <c r="S42" s="1"/>
    </row>
    <row r="43" spans="1:19" ht="15.75" x14ac:dyDescent="0.25">
      <c r="A43" s="50" t="s">
        <v>49</v>
      </c>
      <c r="B43" s="50"/>
      <c r="C43" s="50"/>
      <c r="D43" s="50"/>
      <c r="E43" s="50"/>
      <c r="F43" s="38">
        <f>SUM(F41:F42)</f>
        <v>1505</v>
      </c>
      <c r="G43" s="1"/>
      <c r="H43" s="1"/>
      <c r="I43" s="1"/>
      <c r="J43" s="1"/>
      <c r="K43" s="1"/>
      <c r="L43" s="1"/>
      <c r="M43" s="1"/>
      <c r="N43" s="1"/>
      <c r="O43" s="1"/>
      <c r="P43" s="43"/>
      <c r="Q43" s="44"/>
      <c r="R43" s="1"/>
      <c r="S43" s="1"/>
    </row>
    <row r="44" spans="1:19" ht="15.75" x14ac:dyDescent="0.25">
      <c r="A44" s="50" t="s">
        <v>50</v>
      </c>
      <c r="B44" s="50"/>
      <c r="C44" s="50"/>
      <c r="D44" s="50"/>
      <c r="E44" s="50"/>
      <c r="F44" s="18">
        <v>270</v>
      </c>
      <c r="G44" s="1"/>
      <c r="H44" s="1"/>
      <c r="I44" s="1"/>
      <c r="J44" s="1"/>
      <c r="K44" s="1"/>
      <c r="L44" s="1"/>
      <c r="M44" s="1"/>
      <c r="N44" s="1"/>
      <c r="O44" s="1"/>
      <c r="P44" s="43"/>
      <c r="Q44" s="44"/>
      <c r="R44" s="1"/>
      <c r="S44" s="1"/>
    </row>
    <row r="45" spans="1:19" ht="15.75" x14ac:dyDescent="0.25">
      <c r="A45" s="50" t="s">
        <v>51</v>
      </c>
      <c r="B45" s="50"/>
      <c r="C45" s="50"/>
      <c r="D45" s="50"/>
      <c r="E45" s="50"/>
      <c r="F45" s="17">
        <v>-100</v>
      </c>
      <c r="G45" s="1"/>
      <c r="H45" s="1"/>
      <c r="I45" s="1"/>
      <c r="J45" s="1"/>
      <c r="K45" s="1"/>
      <c r="L45" s="1"/>
      <c r="M45" s="1"/>
      <c r="N45" s="1"/>
      <c r="O45" s="1"/>
      <c r="P45" s="43"/>
      <c r="Q45" s="44"/>
      <c r="R45" s="1"/>
      <c r="S45" s="1"/>
    </row>
    <row r="46" spans="1:19" ht="15.75" x14ac:dyDescent="0.25">
      <c r="A46" s="50" t="s">
        <v>52</v>
      </c>
      <c r="B46" s="50"/>
      <c r="C46" s="50"/>
      <c r="D46" s="50"/>
      <c r="E46" s="50"/>
      <c r="F46" s="38">
        <f>SUM(F43:F45)</f>
        <v>1675</v>
      </c>
      <c r="G46" s="1"/>
      <c r="H46" s="1"/>
      <c r="I46" s="1"/>
      <c r="J46" s="1"/>
      <c r="K46" s="1"/>
      <c r="L46" s="1"/>
      <c r="M46" s="1"/>
      <c r="N46" s="1"/>
      <c r="O46" s="1"/>
      <c r="P46" s="43"/>
      <c r="Q46" s="44"/>
      <c r="R46" s="1"/>
      <c r="S46" s="1"/>
    </row>
    <row r="47" spans="1:19" ht="15.75" x14ac:dyDescent="0.25">
      <c r="A47" s="59" t="s">
        <v>56</v>
      </c>
      <c r="B47" s="59"/>
      <c r="C47" s="59"/>
      <c r="D47" s="59"/>
      <c r="E47" s="59"/>
      <c r="F47" s="17">
        <v>-415</v>
      </c>
      <c r="G47" s="1"/>
      <c r="H47" s="1"/>
      <c r="I47" s="1"/>
      <c r="J47" s="1"/>
      <c r="K47" s="1"/>
      <c r="L47" s="1"/>
      <c r="M47" s="1"/>
      <c r="N47" s="1"/>
      <c r="O47" s="1"/>
      <c r="P47" s="43"/>
      <c r="Q47" s="44"/>
      <c r="R47" s="1"/>
      <c r="S47" s="1"/>
    </row>
    <row r="48" spans="1:19" ht="15.75" x14ac:dyDescent="0.25">
      <c r="A48" s="59" t="s">
        <v>57</v>
      </c>
      <c r="B48" s="59"/>
      <c r="C48" s="59"/>
      <c r="D48" s="59"/>
      <c r="E48" s="59"/>
      <c r="F48" s="38">
        <f>SUM(F46:F47)</f>
        <v>1260</v>
      </c>
      <c r="G48" s="1"/>
      <c r="H48" s="1"/>
      <c r="I48" s="1"/>
      <c r="J48" s="1"/>
      <c r="K48" s="1"/>
      <c r="L48" s="1"/>
      <c r="M48" s="1"/>
      <c r="N48" s="1"/>
      <c r="O48" s="1"/>
      <c r="P48" s="43"/>
      <c r="Q48" s="44"/>
      <c r="R48" s="1"/>
      <c r="S48" s="1"/>
    </row>
    <row r="49" spans="1:19" ht="15.75" x14ac:dyDescent="0.25">
      <c r="A49" s="50" t="s">
        <v>53</v>
      </c>
      <c r="B49" s="50"/>
      <c r="C49" s="50"/>
      <c r="D49" s="50"/>
      <c r="E49" s="50"/>
      <c r="F49" s="17"/>
      <c r="G49" s="1"/>
      <c r="H49" s="1"/>
      <c r="I49" s="1"/>
      <c r="J49" s="1"/>
      <c r="K49" s="1"/>
      <c r="L49" s="1"/>
      <c r="M49" s="1"/>
      <c r="N49" s="1"/>
      <c r="O49" s="1"/>
      <c r="P49" s="43"/>
      <c r="Q49" s="44"/>
      <c r="R49" s="1"/>
      <c r="S49" s="1"/>
    </row>
    <row r="50" spans="1:19" ht="15.75" x14ac:dyDescent="0.25">
      <c r="A50" s="50" t="s">
        <v>54</v>
      </c>
      <c r="B50" s="50"/>
      <c r="C50" s="50"/>
      <c r="D50" s="50"/>
      <c r="E50" s="50"/>
      <c r="F50" s="17">
        <v>35</v>
      </c>
      <c r="G50" s="1"/>
      <c r="H50" s="1"/>
      <c r="I50" s="1"/>
      <c r="J50" s="1"/>
      <c r="K50" s="1"/>
      <c r="L50" s="1"/>
      <c r="M50" s="1"/>
      <c r="N50" s="1"/>
      <c r="O50" s="1"/>
      <c r="P50" s="43"/>
      <c r="Q50" s="44"/>
      <c r="R50" s="1"/>
      <c r="S50" s="1"/>
    </row>
    <row r="51" spans="1:19" ht="15.75" x14ac:dyDescent="0.25">
      <c r="A51" s="50" t="s">
        <v>55</v>
      </c>
      <c r="B51" s="50"/>
      <c r="C51" s="50"/>
      <c r="D51" s="50"/>
      <c r="E51" s="50"/>
      <c r="F51" s="17">
        <v>65</v>
      </c>
      <c r="G51" s="1"/>
      <c r="H51" s="1"/>
      <c r="I51" s="1"/>
      <c r="J51" s="1"/>
      <c r="K51" s="1"/>
      <c r="L51" s="1"/>
      <c r="M51" s="1"/>
      <c r="N51" s="1"/>
      <c r="O51" s="1"/>
      <c r="P51" s="43"/>
      <c r="Q51" s="44"/>
      <c r="R51" s="1"/>
      <c r="S51" s="1"/>
    </row>
    <row r="52" spans="1:19" ht="15.75" x14ac:dyDescent="0.25">
      <c r="A52" s="50" t="s">
        <v>58</v>
      </c>
      <c r="B52" s="50"/>
      <c r="C52" s="50"/>
      <c r="D52" s="50"/>
      <c r="E52" s="50"/>
      <c r="F52" s="38">
        <f>SUM(F48:F51)</f>
        <v>1360</v>
      </c>
      <c r="G52" s="1"/>
      <c r="H52" s="1"/>
      <c r="I52" s="1"/>
      <c r="J52" s="1"/>
      <c r="K52" s="1"/>
      <c r="L52" s="1"/>
      <c r="M52" s="1"/>
      <c r="N52" s="1"/>
      <c r="O52" s="1"/>
      <c r="P52" s="43"/>
      <c r="Q52" s="44"/>
      <c r="R52" s="1"/>
      <c r="S52" s="1"/>
    </row>
    <row r="53" spans="1:19" ht="15.75" x14ac:dyDescent="0.25">
      <c r="A53" s="9"/>
      <c r="B53" s="9"/>
      <c r="C53" s="9"/>
      <c r="D53" s="9"/>
      <c r="E53" s="9"/>
      <c r="F53" s="11"/>
      <c r="G53" s="1"/>
      <c r="H53" s="1"/>
      <c r="I53" s="1"/>
      <c r="J53" s="1"/>
      <c r="K53" s="1"/>
      <c r="L53" s="1"/>
    </row>
    <row r="54" spans="1:19" ht="15.75" x14ac:dyDescent="0.25">
      <c r="A54" s="48" t="s">
        <v>59</v>
      </c>
      <c r="B54" s="48"/>
      <c r="C54" s="48"/>
      <c r="D54" s="9"/>
      <c r="E54" s="9"/>
      <c r="F54" s="11"/>
      <c r="G54" s="1"/>
      <c r="H54" s="1"/>
      <c r="I54" s="1"/>
      <c r="J54" s="1"/>
      <c r="K54" s="1"/>
      <c r="L54" s="1"/>
    </row>
    <row r="55" spans="1:19" ht="35.25" customHeight="1" x14ac:dyDescent="0.25">
      <c r="A55" s="57" t="s">
        <v>60</v>
      </c>
      <c r="B55" s="57"/>
      <c r="C55" s="57"/>
      <c r="D55" s="57"/>
      <c r="E55" s="57"/>
      <c r="F55" s="57"/>
      <c r="G55" s="57"/>
      <c r="H55" s="57"/>
      <c r="I55" s="57"/>
      <c r="J55" s="57"/>
      <c r="K55" s="1"/>
      <c r="L55" s="1"/>
    </row>
    <row r="56" spans="1:19" ht="15.75" x14ac:dyDescent="0.25">
      <c r="A56" s="9"/>
      <c r="B56" s="9"/>
      <c r="C56" s="9"/>
      <c r="D56" s="9"/>
      <c r="E56" s="9"/>
      <c r="F56" s="11"/>
      <c r="G56" s="1"/>
      <c r="H56" s="1"/>
      <c r="I56" s="1"/>
      <c r="J56" s="1"/>
      <c r="K56" s="1"/>
      <c r="L56" s="1"/>
    </row>
    <row r="57" spans="1:19" ht="15.75" x14ac:dyDescent="0.25">
      <c r="A57" s="58" t="s">
        <v>61</v>
      </c>
      <c r="B57" s="58"/>
      <c r="C57" s="58"/>
      <c r="D57" s="58"/>
      <c r="E57" s="58"/>
      <c r="F57" s="58"/>
      <c r="G57" s="58"/>
      <c r="H57" s="58"/>
      <c r="I57" s="58"/>
      <c r="J57" s="58"/>
      <c r="K57" s="1"/>
      <c r="L57" s="1"/>
    </row>
    <row r="58" spans="1:19" ht="15.75" x14ac:dyDescent="0.25">
      <c r="A58" s="49"/>
      <c r="B58" s="49"/>
      <c r="C58" s="49"/>
      <c r="D58" s="49"/>
      <c r="E58" s="49"/>
      <c r="F58" s="12" t="s">
        <v>18</v>
      </c>
      <c r="G58" s="1"/>
      <c r="H58" s="1"/>
      <c r="I58" s="1"/>
      <c r="J58" s="1"/>
      <c r="K58" s="1"/>
      <c r="L58" s="1"/>
    </row>
    <row r="59" spans="1:19" ht="15.75" x14ac:dyDescent="0.25">
      <c r="A59" s="49" t="s">
        <v>62</v>
      </c>
      <c r="B59" s="49"/>
      <c r="C59" s="49"/>
      <c r="D59" s="49"/>
      <c r="E59" s="49"/>
      <c r="F59" s="14">
        <v>210</v>
      </c>
      <c r="G59" s="1"/>
      <c r="H59" s="1"/>
      <c r="I59" s="1"/>
      <c r="J59" s="1"/>
      <c r="K59" s="1"/>
      <c r="L59" s="1"/>
    </row>
    <row r="60" spans="1:19" ht="15.75" x14ac:dyDescent="0.25">
      <c r="A60" s="49" t="s">
        <v>11</v>
      </c>
      <c r="B60" s="49"/>
      <c r="C60" s="49"/>
      <c r="D60" s="49"/>
      <c r="E60" s="49"/>
      <c r="F60" s="14">
        <v>90</v>
      </c>
      <c r="G60" s="1"/>
      <c r="H60" s="1"/>
      <c r="I60" s="1" t="s">
        <v>109</v>
      </c>
      <c r="J60" s="1"/>
      <c r="K60" s="1">
        <f>230-(250*0.8)</f>
        <v>30</v>
      </c>
      <c r="L60" s="1"/>
    </row>
    <row r="61" spans="1:19" ht="15.75" x14ac:dyDescent="0.25">
      <c r="A61" s="49" t="s">
        <v>63</v>
      </c>
      <c r="B61" s="49"/>
      <c r="C61" s="49"/>
      <c r="D61" s="49"/>
      <c r="E61" s="49"/>
      <c r="F61" s="14">
        <v>50</v>
      </c>
      <c r="G61" s="1"/>
      <c r="H61" s="1"/>
      <c r="I61" s="1"/>
      <c r="J61" s="1"/>
      <c r="K61" s="1"/>
      <c r="L61" s="1"/>
    </row>
    <row r="62" spans="1:19" ht="15.75" x14ac:dyDescent="0.25">
      <c r="A62" s="49" t="s">
        <v>64</v>
      </c>
      <c r="B62" s="49"/>
      <c r="C62" s="49"/>
      <c r="D62" s="49"/>
      <c r="E62" s="49"/>
      <c r="F62" s="14">
        <v>30</v>
      </c>
      <c r="G62" s="1"/>
      <c r="H62" s="1"/>
      <c r="I62" s="1" t="s">
        <v>110</v>
      </c>
      <c r="J62" s="1"/>
      <c r="K62" s="1">
        <f>310-(F65*0.8)-K60</f>
        <v>40</v>
      </c>
      <c r="L62" s="1"/>
    </row>
    <row r="63" spans="1:19" ht="15.75" x14ac:dyDescent="0.25">
      <c r="A63" s="49" t="s">
        <v>65</v>
      </c>
      <c r="B63" s="49"/>
      <c r="C63" s="49"/>
      <c r="D63" s="49"/>
      <c r="E63" s="49"/>
      <c r="F63" s="14">
        <v>-60</v>
      </c>
      <c r="G63" s="1"/>
      <c r="H63" s="1"/>
      <c r="I63" s="1"/>
      <c r="J63" s="1"/>
      <c r="K63" s="1"/>
      <c r="L63" s="1"/>
    </row>
    <row r="64" spans="1:19" ht="15.75" x14ac:dyDescent="0.25">
      <c r="A64" s="49" t="s">
        <v>66</v>
      </c>
      <c r="B64" s="49"/>
      <c r="C64" s="49"/>
      <c r="D64" s="49"/>
      <c r="E64" s="49"/>
      <c r="F64" s="14">
        <v>-20</v>
      </c>
      <c r="G64" s="1"/>
      <c r="H64" s="1"/>
      <c r="I64" s="1"/>
      <c r="J64" s="1"/>
      <c r="K64" s="1"/>
      <c r="L64" s="1"/>
    </row>
    <row r="65" spans="1:12" ht="15.75" x14ac:dyDescent="0.25">
      <c r="A65" s="49"/>
      <c r="B65" s="49"/>
      <c r="C65" s="49"/>
      <c r="D65" s="49"/>
      <c r="E65" s="49"/>
      <c r="F65" s="40">
        <v>300</v>
      </c>
      <c r="G65" s="1"/>
      <c r="H65" s="1"/>
      <c r="I65" s="1"/>
      <c r="J65" s="1"/>
      <c r="K65" s="1"/>
      <c r="L65" s="1"/>
    </row>
    <row r="66" spans="1:12" ht="15.75" x14ac:dyDescent="0.25">
      <c r="A66" s="9"/>
      <c r="B66" s="9"/>
      <c r="C66" s="9"/>
      <c r="D66" s="9"/>
      <c r="E66" s="9"/>
      <c r="F66" s="11"/>
      <c r="G66" s="1"/>
      <c r="H66" s="1"/>
      <c r="I66" s="1"/>
      <c r="J66" s="1"/>
      <c r="K66" s="1"/>
      <c r="L66" s="1"/>
    </row>
    <row r="67" spans="1:12" ht="52.5" customHeight="1" x14ac:dyDescent="0.25">
      <c r="A67" s="60" t="s">
        <v>15</v>
      </c>
      <c r="B67" s="60"/>
      <c r="C67" s="60"/>
      <c r="D67" s="60"/>
      <c r="E67" s="60"/>
      <c r="F67" s="60"/>
      <c r="G67" s="60"/>
      <c r="H67" s="60"/>
      <c r="I67" s="60"/>
      <c r="J67" s="60"/>
      <c r="K67" s="60"/>
    </row>
    <row r="68" spans="1:12" ht="15.75" x14ac:dyDescent="0.25">
      <c r="A68" s="1"/>
      <c r="B68" s="1"/>
      <c r="C68" s="1"/>
      <c r="D68" s="1"/>
      <c r="E68" s="1"/>
      <c r="F68" s="11"/>
      <c r="G68" s="1"/>
      <c r="H68" s="1"/>
      <c r="I68" s="1"/>
      <c r="J68" s="1"/>
      <c r="K68" s="1"/>
    </row>
    <row r="69" spans="1:12" ht="30.75" customHeight="1" x14ac:dyDescent="0.25">
      <c r="A69" s="57" t="s">
        <v>16</v>
      </c>
      <c r="B69" s="57"/>
      <c r="C69" s="57"/>
      <c r="D69" s="57"/>
      <c r="E69" s="57"/>
      <c r="F69" s="57"/>
      <c r="G69" s="57"/>
      <c r="H69" s="57"/>
      <c r="I69" s="57"/>
      <c r="J69" s="57"/>
      <c r="K69" s="57"/>
    </row>
    <row r="70" spans="1:12" ht="15.75" x14ac:dyDescent="0.25">
      <c r="A70" s="1"/>
      <c r="B70" s="1"/>
      <c r="C70" s="1"/>
      <c r="D70" s="1"/>
      <c r="E70" s="1"/>
      <c r="F70" s="11"/>
      <c r="G70" s="1"/>
      <c r="H70" s="1"/>
      <c r="I70" s="1"/>
      <c r="J70" s="1"/>
      <c r="K70" s="1"/>
    </row>
    <row r="71" spans="1:12" ht="30" customHeight="1" x14ac:dyDescent="0.25">
      <c r="A71" s="57" t="s">
        <v>17</v>
      </c>
      <c r="B71" s="57"/>
      <c r="C71" s="57"/>
      <c r="D71" s="57"/>
      <c r="E71" s="57"/>
      <c r="F71" s="57"/>
      <c r="G71" s="57"/>
      <c r="H71" s="57"/>
      <c r="I71" s="57"/>
      <c r="J71" s="57"/>
      <c r="K71" s="57"/>
    </row>
    <row r="72" spans="1:12" ht="15.75" x14ac:dyDescent="0.25">
      <c r="A72" s="1"/>
      <c r="B72" s="1"/>
      <c r="C72" s="1"/>
      <c r="D72" s="1"/>
      <c r="E72" s="1"/>
      <c r="F72" s="11"/>
      <c r="G72" s="1"/>
      <c r="H72" s="1"/>
      <c r="I72" s="1"/>
      <c r="J72" s="1"/>
      <c r="K72" s="1"/>
    </row>
    <row r="73" spans="1:12" ht="49.5" customHeight="1" x14ac:dyDescent="0.25">
      <c r="A73" s="57" t="s">
        <v>101</v>
      </c>
      <c r="B73" s="57"/>
      <c r="C73" s="57"/>
      <c r="D73" s="57"/>
      <c r="E73" s="57"/>
      <c r="F73" s="57"/>
      <c r="G73" s="57"/>
      <c r="H73" s="57"/>
      <c r="I73" s="57"/>
      <c r="J73" s="57"/>
      <c r="K73" s="57"/>
    </row>
    <row r="74" spans="1:12" ht="15.75" x14ac:dyDescent="0.25">
      <c r="A74" s="1"/>
      <c r="B74" s="1"/>
      <c r="C74" s="1"/>
      <c r="D74" s="1"/>
      <c r="E74" s="1"/>
      <c r="F74" s="11"/>
      <c r="G74" s="1"/>
      <c r="H74" s="1"/>
      <c r="I74" s="1"/>
      <c r="J74" s="1"/>
      <c r="K74" s="1"/>
    </row>
    <row r="75" spans="1:12" ht="36.75" customHeight="1" x14ac:dyDescent="0.25">
      <c r="A75" s="57" t="s">
        <v>102</v>
      </c>
      <c r="B75" s="57"/>
      <c r="C75" s="57"/>
      <c r="D75" s="57"/>
      <c r="E75" s="57"/>
      <c r="F75" s="57"/>
      <c r="G75" s="57"/>
      <c r="H75" s="57"/>
      <c r="I75" s="57"/>
      <c r="J75" s="57"/>
      <c r="K75" s="57"/>
    </row>
    <row r="76" spans="1:12" ht="15.75" x14ac:dyDescent="0.25">
      <c r="A76" s="1"/>
      <c r="B76" s="1"/>
      <c r="C76" s="1"/>
      <c r="D76" s="1"/>
      <c r="E76" s="1"/>
      <c r="F76" s="11"/>
      <c r="G76" s="1"/>
      <c r="H76" s="1"/>
      <c r="I76" s="1"/>
      <c r="J76" s="1"/>
      <c r="K76" s="1"/>
    </row>
    <row r="77" spans="1:12" ht="15.75" x14ac:dyDescent="0.25">
      <c r="A77" s="1"/>
      <c r="B77" s="1"/>
      <c r="C77" s="54"/>
      <c r="D77" s="55"/>
      <c r="E77" s="55"/>
      <c r="F77" s="56"/>
      <c r="G77" s="10" t="s">
        <v>18</v>
      </c>
      <c r="H77" s="1"/>
      <c r="I77" s="1"/>
      <c r="J77" s="1"/>
      <c r="K77" s="1"/>
    </row>
    <row r="78" spans="1:12" ht="15.75" x14ac:dyDescent="0.25">
      <c r="A78" s="1"/>
      <c r="B78" s="1"/>
      <c r="C78" s="53" t="s">
        <v>19</v>
      </c>
      <c r="D78" s="53"/>
      <c r="E78" s="53"/>
      <c r="F78" s="53"/>
      <c r="G78" s="2">
        <v>1620</v>
      </c>
      <c r="H78" s="1"/>
      <c r="I78" s="1"/>
      <c r="J78" s="1"/>
      <c r="K78" s="1"/>
    </row>
    <row r="79" spans="1:12" ht="15.75" x14ac:dyDescent="0.25">
      <c r="A79" s="1"/>
      <c r="B79" s="1"/>
      <c r="C79" s="53" t="s">
        <v>20</v>
      </c>
      <c r="D79" s="53"/>
      <c r="E79" s="53"/>
      <c r="F79" s="53"/>
      <c r="G79" s="2">
        <v>-235</v>
      </c>
      <c r="H79" s="1"/>
      <c r="I79" s="1"/>
      <c r="J79" s="1"/>
      <c r="K79" s="1"/>
    </row>
    <row r="80" spans="1:12" ht="15.75" x14ac:dyDescent="0.25">
      <c r="A80" s="1"/>
      <c r="B80" s="1"/>
      <c r="C80" s="53" t="s">
        <v>21</v>
      </c>
      <c r="D80" s="53"/>
      <c r="E80" s="53"/>
      <c r="F80" s="53"/>
      <c r="G80" s="2">
        <v>515</v>
      </c>
      <c r="H80" s="1"/>
      <c r="I80" s="1"/>
      <c r="J80" s="1"/>
      <c r="K80" s="1"/>
    </row>
    <row r="81" spans="1:11" ht="15.75" x14ac:dyDescent="0.25">
      <c r="A81" s="1"/>
      <c r="B81" s="1"/>
      <c r="C81" s="53" t="s">
        <v>22</v>
      </c>
      <c r="D81" s="53"/>
      <c r="E81" s="53"/>
      <c r="F81" s="53"/>
      <c r="G81" s="3">
        <v>35</v>
      </c>
      <c r="H81" s="1"/>
      <c r="I81" s="1"/>
      <c r="J81" s="1"/>
      <c r="K81" s="1"/>
    </row>
    <row r="82" spans="1:11" ht="15.75" x14ac:dyDescent="0.25">
      <c r="A82" s="1"/>
      <c r="B82" s="1"/>
      <c r="C82" s="53" t="s">
        <v>23</v>
      </c>
      <c r="D82" s="53"/>
      <c r="E82" s="53"/>
      <c r="F82" s="53"/>
      <c r="G82" s="4">
        <v>1935</v>
      </c>
      <c r="H82" s="1"/>
      <c r="I82" s="1"/>
      <c r="J82" s="1"/>
      <c r="K82" s="1"/>
    </row>
    <row r="83" spans="1:11" ht="15.75" x14ac:dyDescent="0.25">
      <c r="A83" s="1"/>
      <c r="B83" s="1"/>
      <c r="C83" s="1"/>
      <c r="D83" s="1"/>
      <c r="E83" s="1"/>
      <c r="F83" s="11"/>
      <c r="G83" s="1"/>
      <c r="H83" s="1"/>
      <c r="I83" s="1"/>
      <c r="J83" s="1"/>
      <c r="K83" s="1"/>
    </row>
    <row r="84" spans="1:11" ht="32.25" customHeight="1" x14ac:dyDescent="0.25">
      <c r="A84" s="57" t="s">
        <v>24</v>
      </c>
      <c r="B84" s="57"/>
      <c r="C84" s="57"/>
      <c r="D84" s="57"/>
      <c r="E84" s="57"/>
      <c r="F84" s="57"/>
      <c r="G84" s="57"/>
      <c r="H84" s="57"/>
      <c r="I84" s="57"/>
      <c r="J84" s="57"/>
      <c r="K84" s="57"/>
    </row>
    <row r="85" spans="1:11" ht="15.75" x14ac:dyDescent="0.25">
      <c r="A85" s="1"/>
      <c r="B85" s="1"/>
      <c r="C85" s="1"/>
      <c r="D85" s="1"/>
      <c r="E85" s="1"/>
      <c r="F85" s="11"/>
      <c r="G85" s="1"/>
      <c r="H85" s="1"/>
      <c r="I85" s="1"/>
      <c r="J85" s="1"/>
      <c r="K85" s="1"/>
    </row>
    <row r="86" spans="1:11" ht="15.75" x14ac:dyDescent="0.25">
      <c r="A86" s="1" t="s">
        <v>25</v>
      </c>
      <c r="B86" s="1"/>
      <c r="C86" s="1"/>
      <c r="D86" s="1"/>
      <c r="E86" s="1"/>
      <c r="F86" s="11"/>
      <c r="G86" s="1"/>
      <c r="H86" s="1"/>
      <c r="I86" s="1"/>
      <c r="J86" s="1"/>
      <c r="K86" s="1"/>
    </row>
    <row r="87" spans="1:11" ht="15.75" x14ac:dyDescent="0.25">
      <c r="A87" s="1"/>
      <c r="B87" s="1"/>
      <c r="C87" s="1"/>
      <c r="D87" s="1"/>
      <c r="E87" s="1"/>
      <c r="F87" s="11"/>
      <c r="G87" s="1"/>
      <c r="H87" s="1"/>
      <c r="I87" s="1"/>
      <c r="J87" s="1"/>
      <c r="K87" s="1"/>
    </row>
    <row r="88" spans="1:11" x14ac:dyDescent="0.25">
      <c r="A88" t="s">
        <v>100</v>
      </c>
    </row>
    <row r="89" spans="1:11" ht="15.75" x14ac:dyDescent="0.25">
      <c r="A89" s="39" t="s">
        <v>103</v>
      </c>
    </row>
  </sheetData>
  <mergeCells count="44">
    <mergeCell ref="A84:K84"/>
    <mergeCell ref="A67:K67"/>
    <mergeCell ref="A69:K69"/>
    <mergeCell ref="A71:K71"/>
    <mergeCell ref="A73:K73"/>
    <mergeCell ref="A75:K75"/>
    <mergeCell ref="C78:F78"/>
    <mergeCell ref="A42:E42"/>
    <mergeCell ref="C79:F79"/>
    <mergeCell ref="C80:F80"/>
    <mergeCell ref="C81:F81"/>
    <mergeCell ref="C82:F82"/>
    <mergeCell ref="C77:F77"/>
    <mergeCell ref="A52:E52"/>
    <mergeCell ref="A54:C54"/>
    <mergeCell ref="A55:J55"/>
    <mergeCell ref="A57:J57"/>
    <mergeCell ref="A50:E50"/>
    <mergeCell ref="A51:E51"/>
    <mergeCell ref="A47:E47"/>
    <mergeCell ref="A48:E48"/>
    <mergeCell ref="A43:E43"/>
    <mergeCell ref="A44:E44"/>
    <mergeCell ref="A39:E39"/>
    <mergeCell ref="A41:E41"/>
    <mergeCell ref="A35:E35"/>
    <mergeCell ref="A38:E38"/>
    <mergeCell ref="A40:E40"/>
    <mergeCell ref="K4:S4"/>
    <mergeCell ref="L3:R3"/>
    <mergeCell ref="A65:E65"/>
    <mergeCell ref="A58:E58"/>
    <mergeCell ref="A59:E59"/>
    <mergeCell ref="A60:E60"/>
    <mergeCell ref="A61:E61"/>
    <mergeCell ref="A62:E62"/>
    <mergeCell ref="A45:E45"/>
    <mergeCell ref="A46:E46"/>
    <mergeCell ref="A49:E49"/>
    <mergeCell ref="A63:E63"/>
    <mergeCell ref="A64:E64"/>
    <mergeCell ref="C34:F34"/>
    <mergeCell ref="A36:E36"/>
    <mergeCell ref="A37:E3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abSelected="1" topLeftCell="B7" workbookViewId="0">
      <selection activeCell="P8" sqref="P8"/>
    </sheetView>
  </sheetViews>
  <sheetFormatPr defaultRowHeight="15" x14ac:dyDescent="0.25"/>
  <cols>
    <col min="1" max="1" width="33" bestFit="1" customWidth="1"/>
    <col min="3" max="3" width="10" bestFit="1" customWidth="1"/>
    <col min="5" max="5" width="32.42578125" customWidth="1"/>
    <col min="6" max="6" width="9.140625" style="42"/>
    <col min="17" max="17" width="11.42578125" customWidth="1"/>
  </cols>
  <sheetData>
    <row r="1" spans="1:17" ht="15.75" x14ac:dyDescent="0.25">
      <c r="A1" s="62" t="s">
        <v>67</v>
      </c>
      <c r="B1" s="62"/>
      <c r="C1" s="1"/>
      <c r="D1" s="1"/>
      <c r="E1" s="1"/>
      <c r="F1" s="44"/>
      <c r="G1" s="1"/>
      <c r="H1" s="1"/>
      <c r="I1" s="1"/>
    </row>
    <row r="2" spans="1:17" ht="15.75" x14ac:dyDescent="0.25">
      <c r="A2" s="63" t="s">
        <v>139</v>
      </c>
      <c r="B2" s="63"/>
      <c r="C2" s="63"/>
      <c r="D2" s="63"/>
      <c r="E2" s="63"/>
      <c r="F2" s="63"/>
      <c r="G2" s="63"/>
      <c r="H2" s="1"/>
      <c r="I2" s="1"/>
    </row>
    <row r="3" spans="1:17" ht="37.5" customHeight="1" x14ac:dyDescent="0.25">
      <c r="A3" s="64" t="s">
        <v>68</v>
      </c>
      <c r="B3" s="64"/>
      <c r="C3" s="64"/>
      <c r="D3" s="64"/>
      <c r="E3" s="64"/>
      <c r="F3" s="64"/>
      <c r="G3" s="64"/>
      <c r="H3" s="64"/>
      <c r="I3" s="64"/>
    </row>
    <row r="4" spans="1:17" ht="15.75" x14ac:dyDescent="0.25">
      <c r="A4" s="65" t="s">
        <v>69</v>
      </c>
      <c r="B4" s="65"/>
      <c r="C4" s="65"/>
      <c r="D4" s="65"/>
      <c r="E4" s="65"/>
      <c r="F4" s="65"/>
      <c r="G4" s="65"/>
      <c r="H4" s="25"/>
      <c r="I4" s="1">
        <f>1320/1650</f>
        <v>0.8</v>
      </c>
    </row>
    <row r="5" spans="1:17" ht="15.75" x14ac:dyDescent="0.25">
      <c r="A5" s="66"/>
      <c r="B5" s="66"/>
      <c r="C5" s="66"/>
      <c r="D5" s="66"/>
      <c r="E5" s="66"/>
      <c r="F5" s="66"/>
      <c r="G5" s="66"/>
      <c r="H5" s="66"/>
      <c r="I5" s="1"/>
    </row>
    <row r="6" spans="1:17" ht="15.75" x14ac:dyDescent="0.25">
      <c r="A6" s="61" t="s">
        <v>70</v>
      </c>
      <c r="B6" s="61"/>
      <c r="C6" s="61"/>
      <c r="D6" s="61"/>
      <c r="E6" s="61"/>
      <c r="F6" s="79"/>
      <c r="G6" s="26"/>
      <c r="H6" s="26"/>
      <c r="I6" s="26"/>
      <c r="J6" s="48" t="s">
        <v>136</v>
      </c>
      <c r="K6" s="48"/>
      <c r="L6" s="48"/>
      <c r="M6" s="48"/>
      <c r="N6" s="48"/>
      <c r="O6" s="48"/>
      <c r="P6" s="48"/>
      <c r="Q6" s="48"/>
    </row>
    <row r="7" spans="1:17" ht="15.75" x14ac:dyDescent="0.25">
      <c r="A7" s="27"/>
      <c r="B7" s="28" t="s">
        <v>71</v>
      </c>
      <c r="C7" s="28" t="s">
        <v>72</v>
      </c>
      <c r="D7" s="25"/>
      <c r="E7" s="36" t="s">
        <v>138</v>
      </c>
      <c r="F7" s="44"/>
      <c r="G7" s="25"/>
      <c r="H7" s="25"/>
      <c r="I7" s="1"/>
      <c r="J7" s="77" t="s">
        <v>137</v>
      </c>
      <c r="K7" s="77"/>
      <c r="L7" s="77"/>
      <c r="M7" s="77"/>
      <c r="N7" s="77"/>
      <c r="O7" s="77"/>
      <c r="P7" s="77"/>
      <c r="Q7" s="77"/>
    </row>
    <row r="8" spans="1:17" ht="15.75" x14ac:dyDescent="0.25">
      <c r="A8" s="27"/>
      <c r="B8" s="28" t="s">
        <v>73</v>
      </c>
      <c r="C8" s="28" t="s">
        <v>73</v>
      </c>
      <c r="D8" s="25"/>
      <c r="E8" s="25" t="s">
        <v>140</v>
      </c>
      <c r="F8" s="44">
        <f>1600/4*2</f>
        <v>800</v>
      </c>
      <c r="G8" s="25"/>
      <c r="H8" s="25"/>
      <c r="I8" s="1"/>
      <c r="J8" s="36" t="str">
        <f>A9</f>
        <v>Non-current assets:</v>
      </c>
      <c r="K8" s="1"/>
      <c r="L8" s="1"/>
      <c r="M8" s="1"/>
      <c r="N8" s="1"/>
      <c r="O8" s="1"/>
      <c r="P8" s="39" t="s">
        <v>142</v>
      </c>
      <c r="Q8" s="1"/>
    </row>
    <row r="9" spans="1:17" ht="15.75" x14ac:dyDescent="0.25">
      <c r="A9" s="29" t="s">
        <v>4</v>
      </c>
      <c r="B9" s="27"/>
      <c r="C9" s="27"/>
      <c r="D9" s="25"/>
      <c r="E9" s="25" t="s">
        <v>141</v>
      </c>
      <c r="F9" s="44">
        <v>1600</v>
      </c>
      <c r="G9" s="25"/>
      <c r="H9" s="25"/>
      <c r="I9" s="1"/>
      <c r="J9" s="25" t="str">
        <f>A10</f>
        <v>Property, plant and equipment</v>
      </c>
      <c r="K9" s="1"/>
      <c r="L9" s="1"/>
      <c r="M9" s="1"/>
      <c r="N9" s="1"/>
      <c r="O9" s="1"/>
      <c r="P9" s="25">
        <f>B10+C10+F9-F8</f>
        <v>62160</v>
      </c>
      <c r="Q9" s="1"/>
    </row>
    <row r="10" spans="1:17" ht="15.75" x14ac:dyDescent="0.25">
      <c r="A10" s="27" t="s">
        <v>74</v>
      </c>
      <c r="B10" s="30">
        <v>37300</v>
      </c>
      <c r="C10" s="30">
        <v>24060</v>
      </c>
      <c r="D10" s="25"/>
      <c r="E10" s="25"/>
      <c r="F10" s="44"/>
      <c r="G10" s="25"/>
      <c r="H10" s="25"/>
      <c r="I10" s="1"/>
      <c r="J10" s="25" t="str">
        <f>A11</f>
        <v>Investments</v>
      </c>
      <c r="K10" s="1"/>
      <c r="L10" s="1"/>
      <c r="M10" s="1"/>
      <c r="N10" s="1"/>
      <c r="O10" s="1"/>
      <c r="P10" s="25">
        <f>B11+C11-27300-1400</f>
        <v>28700</v>
      </c>
      <c r="Q10" s="1"/>
    </row>
    <row r="11" spans="1:17" ht="15.75" x14ac:dyDescent="0.25">
      <c r="A11" s="27" t="s">
        <v>75</v>
      </c>
      <c r="B11" s="31">
        <v>52600</v>
      </c>
      <c r="C11" s="31">
        <v>4800</v>
      </c>
      <c r="D11" s="25"/>
      <c r="E11" s="36" t="s">
        <v>143</v>
      </c>
      <c r="F11" s="44"/>
      <c r="G11" s="25"/>
      <c r="H11" s="25"/>
      <c r="I11" s="1"/>
      <c r="J11" s="1" t="s">
        <v>6</v>
      </c>
      <c r="K11" s="1"/>
      <c r="L11" s="1"/>
      <c r="M11" s="1"/>
      <c r="N11" s="1"/>
      <c r="O11" s="1"/>
      <c r="P11" s="44">
        <f>F20</f>
        <v>2800</v>
      </c>
      <c r="Q11" s="1"/>
    </row>
    <row r="12" spans="1:17" ht="15.75" x14ac:dyDescent="0.25">
      <c r="A12" s="27"/>
      <c r="B12" s="28">
        <f>SUM(B10:B11)</f>
        <v>89900</v>
      </c>
      <c r="C12" s="28">
        <f>SUM(C10:C11)</f>
        <v>28860</v>
      </c>
      <c r="D12" s="25"/>
      <c r="E12" s="25" t="s">
        <v>144</v>
      </c>
      <c r="F12" s="44">
        <f>27300</f>
        <v>27300</v>
      </c>
      <c r="G12" s="25"/>
      <c r="H12" s="25"/>
      <c r="I12" s="1"/>
      <c r="J12" s="1"/>
      <c r="K12" s="1"/>
      <c r="L12" s="1"/>
      <c r="M12" s="1"/>
      <c r="N12" s="1"/>
      <c r="O12" s="1"/>
      <c r="P12" s="83">
        <f>SUM(P9:P11)</f>
        <v>93660</v>
      </c>
      <c r="Q12" s="1"/>
    </row>
    <row r="13" spans="1:17" ht="15.75" x14ac:dyDescent="0.25">
      <c r="A13" s="29" t="s">
        <v>76</v>
      </c>
      <c r="B13" s="30"/>
      <c r="C13" s="30"/>
      <c r="D13" s="25"/>
      <c r="E13" s="25" t="s">
        <v>145</v>
      </c>
      <c r="F13" s="44">
        <f>6800</f>
        <v>6800</v>
      </c>
      <c r="G13" s="25"/>
      <c r="H13" s="25"/>
      <c r="I13" s="1"/>
      <c r="J13" s="36" t="str">
        <f>A13</f>
        <v>Current assest</v>
      </c>
      <c r="K13" s="1"/>
      <c r="L13" s="1"/>
      <c r="M13" s="1"/>
      <c r="N13" s="1"/>
      <c r="O13" s="1"/>
      <c r="P13" s="1"/>
      <c r="Q13" s="1"/>
    </row>
    <row r="14" spans="1:17" ht="15.75" x14ac:dyDescent="0.25">
      <c r="A14" s="27" t="s">
        <v>11</v>
      </c>
      <c r="B14" s="30">
        <v>6350</v>
      </c>
      <c r="C14" s="30">
        <v>5200</v>
      </c>
      <c r="D14" s="25"/>
      <c r="E14" s="25"/>
      <c r="F14" s="80">
        <f>SUM(F12:F13)</f>
        <v>34100</v>
      </c>
      <c r="G14" s="25"/>
      <c r="H14" s="25"/>
      <c r="I14" s="1"/>
      <c r="J14" s="25" t="str">
        <f>A14</f>
        <v>Inventories</v>
      </c>
      <c r="K14" s="1"/>
      <c r="L14" s="1"/>
      <c r="M14" s="1"/>
      <c r="N14" s="1"/>
      <c r="O14" s="25">
        <f>B14+C14+700-F22</f>
        <v>12150.00008571404</v>
      </c>
      <c r="P14" s="1"/>
      <c r="Q14" s="1"/>
    </row>
    <row r="15" spans="1:17" ht="15.75" x14ac:dyDescent="0.25">
      <c r="A15" s="27" t="s">
        <v>77</v>
      </c>
      <c r="B15" s="30">
        <v>4360</v>
      </c>
      <c r="C15" s="30">
        <v>1950</v>
      </c>
      <c r="D15" s="25"/>
      <c r="E15" s="25" t="str">
        <f>A22</f>
        <v>Ordinary share capital (Sh. 10 each)</v>
      </c>
      <c r="F15" s="44">
        <f>-C22</f>
        <v>-16500</v>
      </c>
      <c r="G15" s="25"/>
      <c r="H15" s="25"/>
      <c r="I15" s="1"/>
      <c r="J15" s="25" t="str">
        <f>A15</f>
        <v>Accounts recievable</v>
      </c>
      <c r="K15" s="1"/>
      <c r="L15" s="1"/>
      <c r="M15" s="1"/>
      <c r="N15" s="1"/>
      <c r="O15" s="25">
        <f>B15+C15-750-700</f>
        <v>4860</v>
      </c>
      <c r="P15" s="1"/>
      <c r="Q15" s="1"/>
    </row>
    <row r="16" spans="1:17" ht="15.75" x14ac:dyDescent="0.25">
      <c r="A16" s="27" t="s">
        <v>78</v>
      </c>
      <c r="B16" s="31">
        <v>1390</v>
      </c>
      <c r="C16" s="31" t="s">
        <v>79</v>
      </c>
      <c r="D16" s="25"/>
      <c r="E16" s="25" t="str">
        <f>A23</f>
        <v>Retained earnings</v>
      </c>
      <c r="F16" s="44">
        <f>-12500</f>
        <v>-12500</v>
      </c>
      <c r="G16" s="25"/>
      <c r="H16" s="25"/>
      <c r="I16" s="1"/>
      <c r="J16" s="25" t="str">
        <f>A16</f>
        <v>Bank</v>
      </c>
      <c r="K16" s="1"/>
      <c r="L16" s="1"/>
      <c r="M16" s="1"/>
      <c r="N16" s="1"/>
      <c r="O16" s="25">
        <f>B16</f>
        <v>1390</v>
      </c>
      <c r="P16" s="25">
        <f>SUM(O14:O16)</f>
        <v>18400.00008571404</v>
      </c>
      <c r="Q16" s="1"/>
    </row>
    <row r="17" spans="1:17" ht="16.5" thickBot="1" x14ac:dyDescent="0.3">
      <c r="A17" s="27"/>
      <c r="B17" s="31">
        <v>12100</v>
      </c>
      <c r="C17" s="31">
        <v>7150</v>
      </c>
      <c r="D17" s="25"/>
      <c r="E17" s="25" t="str">
        <f>E9</f>
        <v>fair value gain</v>
      </c>
      <c r="F17" s="44">
        <f>-F9</f>
        <v>-1600</v>
      </c>
      <c r="G17" s="25"/>
      <c r="H17" s="25"/>
      <c r="I17" s="1"/>
      <c r="J17" s="25" t="str">
        <f>A18</f>
        <v>Total assets</v>
      </c>
      <c r="K17" s="1"/>
      <c r="L17" s="1"/>
      <c r="M17" s="1"/>
      <c r="N17" s="1"/>
      <c r="O17" s="1"/>
      <c r="P17" s="84">
        <f>SUM(P12:P16)</f>
        <v>112060.00008571404</v>
      </c>
      <c r="Q17" s="1"/>
    </row>
    <row r="18" spans="1:17" ht="15.75" x14ac:dyDescent="0.25">
      <c r="A18" s="27" t="s">
        <v>80</v>
      </c>
      <c r="B18" s="32">
        <v>102200</v>
      </c>
      <c r="C18" s="32">
        <v>36010</v>
      </c>
      <c r="D18" s="25"/>
      <c r="E18" s="25" t="s">
        <v>143</v>
      </c>
      <c r="F18" s="80">
        <f>SUM(F14:F17)</f>
        <v>3500</v>
      </c>
      <c r="G18" s="25"/>
      <c r="H18" s="25"/>
      <c r="I18" s="1"/>
      <c r="J18" s="36" t="str">
        <f>A20</f>
        <v>Equity and liablilities</v>
      </c>
      <c r="K18" s="1"/>
      <c r="L18" s="1"/>
      <c r="M18" s="1"/>
      <c r="N18" s="1"/>
      <c r="O18" s="1"/>
      <c r="P18" s="1"/>
      <c r="Q18" s="1"/>
    </row>
    <row r="19" spans="1:17" ht="15.75" x14ac:dyDescent="0.25">
      <c r="A19" s="27"/>
      <c r="B19" s="30"/>
      <c r="C19" s="30"/>
      <c r="D19" s="25"/>
      <c r="E19" s="25" t="s">
        <v>146</v>
      </c>
      <c r="F19" s="44">
        <f>-F18*0.2</f>
        <v>-700</v>
      </c>
      <c r="G19" s="25"/>
      <c r="H19" s="25"/>
      <c r="I19" s="1"/>
      <c r="J19" s="25" t="str">
        <f>A22</f>
        <v>Ordinary share capital (Sh. 10 each)</v>
      </c>
      <c r="K19" s="1"/>
      <c r="L19" s="1"/>
      <c r="M19" s="1"/>
      <c r="N19" s="1"/>
      <c r="O19" s="1"/>
      <c r="P19" s="25">
        <f>B22</f>
        <v>43000</v>
      </c>
      <c r="Q19" s="1"/>
    </row>
    <row r="20" spans="1:17" ht="15.75" x14ac:dyDescent="0.25">
      <c r="A20" s="29" t="s">
        <v>81</v>
      </c>
      <c r="B20" s="30"/>
      <c r="C20" s="30"/>
      <c r="D20" s="25"/>
      <c r="E20" s="25" t="s">
        <v>147</v>
      </c>
      <c r="F20" s="81">
        <f>SUM(F18:F19)</f>
        <v>2800</v>
      </c>
      <c r="G20" s="25"/>
      <c r="H20" s="25"/>
      <c r="I20" s="1"/>
      <c r="J20" s="25" t="str">
        <f>A23</f>
        <v>Retained earnings</v>
      </c>
      <c r="K20" s="1"/>
      <c r="L20" s="1"/>
      <c r="M20" s="1"/>
      <c r="N20" s="1"/>
      <c r="O20" s="1"/>
      <c r="P20" s="44">
        <f>F30</f>
        <v>30792.000068571233</v>
      </c>
      <c r="Q20" s="1"/>
    </row>
    <row r="21" spans="1:17" ht="15.75" x14ac:dyDescent="0.25">
      <c r="A21" s="29" t="s">
        <v>82</v>
      </c>
      <c r="B21" s="30"/>
      <c r="C21" s="30"/>
      <c r="D21" s="25"/>
      <c r="E21" s="25"/>
      <c r="F21" s="44"/>
      <c r="G21" s="25"/>
      <c r="H21" s="25"/>
      <c r="I21" s="1"/>
      <c r="J21" s="1" t="s">
        <v>149</v>
      </c>
      <c r="K21" s="1"/>
      <c r="L21" s="1"/>
      <c r="M21" s="1"/>
      <c r="N21" s="1"/>
      <c r="O21" s="1"/>
      <c r="P21" s="78">
        <f>SUM(P19:P20)</f>
        <v>73792.000068571229</v>
      </c>
      <c r="Q21" s="1"/>
    </row>
    <row r="22" spans="1:17" ht="15.75" x14ac:dyDescent="0.25">
      <c r="A22" s="27" t="s">
        <v>83</v>
      </c>
      <c r="B22" s="30">
        <v>43000</v>
      </c>
      <c r="C22" s="30">
        <v>16500</v>
      </c>
      <c r="D22" s="25"/>
      <c r="E22" s="36" t="s">
        <v>148</v>
      </c>
      <c r="F22" s="44">
        <f>700*16.6667/116.667</f>
        <v>99.999914285959164</v>
      </c>
      <c r="G22" s="25"/>
      <c r="H22" s="25"/>
      <c r="I22" s="1"/>
      <c r="J22" s="1" t="s">
        <v>150</v>
      </c>
      <c r="K22" s="1"/>
      <c r="L22" s="1"/>
      <c r="M22" s="1"/>
      <c r="N22" s="1"/>
      <c r="O22" s="1"/>
      <c r="P22" s="44">
        <f>F38</f>
        <v>5858.0000171428082</v>
      </c>
      <c r="Q22" s="1"/>
    </row>
    <row r="23" spans="1:17" ht="15.75" x14ac:dyDescent="0.25">
      <c r="A23" s="27" t="s">
        <v>29</v>
      </c>
      <c r="B23" s="31">
        <v>34560</v>
      </c>
      <c r="C23" s="31">
        <v>8190</v>
      </c>
      <c r="D23" s="25"/>
      <c r="E23" s="36" t="str">
        <f>A23</f>
        <v>Retained earnings</v>
      </c>
      <c r="F23" s="44"/>
      <c r="G23" s="25"/>
      <c r="H23" s="25"/>
      <c r="I23" s="1"/>
      <c r="J23" s="1" t="s">
        <v>151</v>
      </c>
      <c r="K23" s="1"/>
      <c r="L23" s="1"/>
      <c r="M23" s="1"/>
      <c r="N23" s="1"/>
      <c r="O23" s="1"/>
      <c r="P23" s="83">
        <f>SUM(P21:P22)</f>
        <v>79650.00008571404</v>
      </c>
      <c r="Q23" s="1"/>
    </row>
    <row r="24" spans="1:17" ht="15.75" x14ac:dyDescent="0.25">
      <c r="A24" s="27"/>
      <c r="B24" s="30">
        <v>77560</v>
      </c>
      <c r="C24" s="30">
        <v>24690</v>
      </c>
      <c r="D24" s="25"/>
      <c r="E24" s="25" t="str">
        <f>B7</f>
        <v>Ambaza</v>
      </c>
      <c r="F24" s="44">
        <f>B23</f>
        <v>34560</v>
      </c>
      <c r="G24" s="25"/>
      <c r="H24" s="25"/>
      <c r="I24" s="1"/>
      <c r="J24" s="36" t="str">
        <f>A25</f>
        <v xml:space="preserve">Non-current liabilities </v>
      </c>
      <c r="K24" s="1"/>
      <c r="L24" s="1"/>
      <c r="M24" s="1"/>
      <c r="N24" s="1"/>
      <c r="O24" s="1"/>
      <c r="P24" s="1"/>
      <c r="Q24" s="1"/>
    </row>
    <row r="25" spans="1:17" ht="15.75" x14ac:dyDescent="0.25">
      <c r="A25" s="29" t="s">
        <v>84</v>
      </c>
      <c r="B25" s="30"/>
      <c r="C25" s="30"/>
      <c r="D25" s="25"/>
      <c r="E25" s="25" t="str">
        <f>C7</f>
        <v>Rudisha</v>
      </c>
      <c r="F25" s="44">
        <f>(C23+F16)*0.8</f>
        <v>-3448</v>
      </c>
      <c r="G25" s="25"/>
      <c r="H25" s="25"/>
      <c r="I25" s="1"/>
      <c r="J25" s="25" t="str">
        <f>A26</f>
        <v>12% debentures</v>
      </c>
      <c r="K25" s="1"/>
      <c r="L25" s="1"/>
      <c r="M25" s="1"/>
      <c r="N25" s="1"/>
      <c r="O25" s="1">
        <f>B26+C26*0.5</f>
        <v>9600</v>
      </c>
      <c r="P25" s="1"/>
      <c r="Q25" s="1"/>
    </row>
    <row r="26" spans="1:17" ht="15.75" x14ac:dyDescent="0.25">
      <c r="A26" s="27" t="s">
        <v>85</v>
      </c>
      <c r="B26" s="30">
        <v>8200</v>
      </c>
      <c r="C26" s="30">
        <v>2800</v>
      </c>
      <c r="D26" s="25"/>
      <c r="E26" s="25" t="str">
        <f>A32</f>
        <v>Dividends</v>
      </c>
      <c r="F26" s="44">
        <f>C32*0.8</f>
        <v>960</v>
      </c>
      <c r="G26" s="25"/>
      <c r="H26" s="25"/>
      <c r="I26" s="1"/>
      <c r="J26" s="25" t="str">
        <f>A27</f>
        <v>Deffered tax</v>
      </c>
      <c r="K26" s="1"/>
      <c r="L26" s="1"/>
      <c r="M26" s="1"/>
      <c r="N26" s="1"/>
      <c r="O26" s="25">
        <f>B27+C27</f>
        <v>5100</v>
      </c>
      <c r="P26" s="1">
        <f>SUM(O25:O26)</f>
        <v>14700</v>
      </c>
      <c r="Q26" s="1"/>
    </row>
    <row r="27" spans="1:17" ht="15.75" x14ac:dyDescent="0.25">
      <c r="A27" s="27" t="s">
        <v>35</v>
      </c>
      <c r="B27" s="31">
        <v>3900</v>
      </c>
      <c r="C27" s="31">
        <v>1200</v>
      </c>
      <c r="D27" s="25"/>
      <c r="E27" s="25" t="str">
        <f>E8</f>
        <v>fair value dep</v>
      </c>
      <c r="F27" s="44">
        <f>-F8*0.8</f>
        <v>-640</v>
      </c>
      <c r="G27" s="25"/>
      <c r="H27" s="25"/>
      <c r="I27" s="1"/>
      <c r="J27" s="36" t="str">
        <f>A29</f>
        <v>Current liabilities</v>
      </c>
      <c r="K27" s="1"/>
      <c r="L27" s="1"/>
      <c r="M27" s="1"/>
      <c r="N27" s="1"/>
      <c r="O27" s="1"/>
      <c r="P27" s="1"/>
      <c r="Q27" s="1"/>
    </row>
    <row r="28" spans="1:17" ht="15.75" x14ac:dyDescent="0.25">
      <c r="A28" s="27"/>
      <c r="B28" s="31">
        <v>12100</v>
      </c>
      <c r="C28" s="31">
        <v>4000</v>
      </c>
      <c r="D28" s="25"/>
      <c r="E28" s="25" t="str">
        <f>E22</f>
        <v>upcs</v>
      </c>
      <c r="F28" s="44">
        <f>-F22*0.8</f>
        <v>-79.99993142876734</v>
      </c>
      <c r="G28" s="25"/>
      <c r="H28" s="25"/>
      <c r="I28" s="1"/>
      <c r="J28" s="25" t="str">
        <f>A30</f>
        <v xml:space="preserve">Accounts payable </v>
      </c>
      <c r="K28" s="1"/>
      <c r="L28" s="1"/>
      <c r="M28" s="1"/>
      <c r="N28" s="1"/>
      <c r="O28" s="25">
        <f>B30+C30-750</f>
        <v>6720</v>
      </c>
      <c r="P28" s="1"/>
      <c r="Q28" s="1"/>
    </row>
    <row r="29" spans="1:17" ht="15.75" x14ac:dyDescent="0.25">
      <c r="A29" s="29" t="s">
        <v>86</v>
      </c>
      <c r="B29" s="30"/>
      <c r="C29" s="30"/>
      <c r="D29" s="25"/>
      <c r="E29" s="25" t="str">
        <f>E19</f>
        <v>goodwill impaired</v>
      </c>
      <c r="F29" s="44">
        <f>F19*0.8</f>
        <v>-560</v>
      </c>
      <c r="G29" s="25"/>
      <c r="H29" s="25"/>
      <c r="I29" s="1"/>
      <c r="J29" s="25" t="str">
        <f>A31</f>
        <v>Taxation</v>
      </c>
      <c r="K29" s="1"/>
      <c r="L29" s="1"/>
      <c r="M29" s="1"/>
      <c r="N29" s="1"/>
      <c r="O29" s="25">
        <f>B31+C31</f>
        <v>7740</v>
      </c>
      <c r="P29" s="1"/>
      <c r="Q29" s="1"/>
    </row>
    <row r="30" spans="1:17" ht="16.5" thickBot="1" x14ac:dyDescent="0.3">
      <c r="A30" s="27" t="s">
        <v>87</v>
      </c>
      <c r="B30" s="30">
        <v>5710</v>
      </c>
      <c r="C30" s="30">
        <v>1760</v>
      </c>
      <c r="D30" s="25"/>
      <c r="E30" s="25"/>
      <c r="F30" s="47">
        <f>SUM(F24:F29)</f>
        <v>30792.000068571233</v>
      </c>
      <c r="G30" s="25"/>
      <c r="H30" s="25"/>
      <c r="I30" s="1"/>
      <c r="J30" s="25" t="str">
        <f>A32</f>
        <v>Dividends</v>
      </c>
      <c r="K30" s="1"/>
      <c r="L30" s="1"/>
      <c r="M30" s="1"/>
      <c r="N30" s="1"/>
      <c r="O30" s="25">
        <f>B32</f>
        <v>1300</v>
      </c>
      <c r="P30" s="1"/>
      <c r="Q30" s="1"/>
    </row>
    <row r="31" spans="1:17" ht="15.75" x14ac:dyDescent="0.25">
      <c r="A31" s="27" t="s">
        <v>88</v>
      </c>
      <c r="B31" s="30">
        <v>5330</v>
      </c>
      <c r="C31" s="30">
        <v>2410</v>
      </c>
      <c r="D31" s="25"/>
      <c r="E31" s="36" t="str">
        <f>J22</f>
        <v>NCI share of net assets</v>
      </c>
      <c r="F31" s="44"/>
      <c r="G31" s="25"/>
      <c r="H31" s="25"/>
      <c r="I31" s="1"/>
      <c r="J31" s="25" t="str">
        <f>A33</f>
        <v>Bank Overdraft</v>
      </c>
      <c r="K31" s="1"/>
      <c r="L31" s="1"/>
      <c r="M31" s="1"/>
      <c r="N31" s="1"/>
      <c r="O31" s="25">
        <f>C33</f>
        <v>1950</v>
      </c>
      <c r="P31" s="25">
        <f>SUM(O28:O31)</f>
        <v>17710</v>
      </c>
      <c r="Q31" s="1"/>
    </row>
    <row r="32" spans="1:17" ht="16.5" thickBot="1" x14ac:dyDescent="0.3">
      <c r="A32" s="27" t="s">
        <v>89</v>
      </c>
      <c r="B32" s="30">
        <v>1300</v>
      </c>
      <c r="C32" s="30">
        <v>1200</v>
      </c>
      <c r="D32" s="25"/>
      <c r="E32" s="25" t="str">
        <f>E13</f>
        <v>fair vaue NCI</v>
      </c>
      <c r="F32" s="44">
        <f>F13</f>
        <v>6800</v>
      </c>
      <c r="G32" s="25"/>
      <c r="H32" s="25"/>
      <c r="I32" s="1"/>
      <c r="J32" s="1" t="s">
        <v>152</v>
      </c>
      <c r="K32" s="1"/>
      <c r="L32" s="1"/>
      <c r="M32" s="1"/>
      <c r="N32" s="1"/>
      <c r="O32" s="1"/>
      <c r="P32" s="84">
        <f>SUM(P23:P31)</f>
        <v>112060.00008571404</v>
      </c>
      <c r="Q32" s="1"/>
    </row>
    <row r="33" spans="1:17" ht="15.75" x14ac:dyDescent="0.25">
      <c r="A33" s="27" t="s">
        <v>90</v>
      </c>
      <c r="B33" s="30" t="s">
        <v>79</v>
      </c>
      <c r="C33" s="30">
        <v>1950</v>
      </c>
      <c r="D33" s="25"/>
      <c r="E33" s="25" t="str">
        <f>E23</f>
        <v>Retained earnings</v>
      </c>
      <c r="F33" s="44">
        <f>(C23+F16)*0.2</f>
        <v>-862</v>
      </c>
      <c r="G33" s="25"/>
      <c r="H33" s="25"/>
      <c r="I33" s="1"/>
      <c r="J33" s="1"/>
      <c r="K33" s="1"/>
      <c r="L33" s="1"/>
      <c r="M33" s="1"/>
      <c r="N33" s="1"/>
      <c r="O33" s="1"/>
      <c r="P33" s="1"/>
      <c r="Q33" s="1"/>
    </row>
    <row r="34" spans="1:17" ht="15.75" x14ac:dyDescent="0.25">
      <c r="A34" s="27"/>
      <c r="B34" s="31">
        <v>12340</v>
      </c>
      <c r="C34" s="31">
        <v>7320</v>
      </c>
      <c r="D34" s="25"/>
      <c r="E34" s="25" t="str">
        <f>E26</f>
        <v>Dividends</v>
      </c>
      <c r="F34" s="44">
        <f>C32*0.2</f>
        <v>240</v>
      </c>
      <c r="G34" s="25"/>
      <c r="H34" s="25"/>
      <c r="I34" s="1"/>
      <c r="J34" s="1"/>
      <c r="K34" s="1"/>
      <c r="L34" s="1"/>
      <c r="M34" s="1"/>
      <c r="N34" s="1"/>
      <c r="O34" s="1"/>
      <c r="P34" s="1"/>
      <c r="Q34" s="1"/>
    </row>
    <row r="35" spans="1:17" ht="15.75" x14ac:dyDescent="0.25">
      <c r="A35" s="27"/>
      <c r="B35" s="32">
        <v>102000</v>
      </c>
      <c r="C35" s="32">
        <v>36010</v>
      </c>
      <c r="D35" s="25"/>
      <c r="E35" s="25" t="str">
        <f>E27</f>
        <v>fair value dep</v>
      </c>
      <c r="F35" s="44">
        <f>-F8*0.2</f>
        <v>-160</v>
      </c>
      <c r="G35" s="25"/>
      <c r="H35" s="25"/>
      <c r="I35" s="1"/>
      <c r="J35" s="1"/>
      <c r="K35" s="1"/>
      <c r="L35" s="1"/>
      <c r="M35" s="1"/>
      <c r="N35" s="1"/>
      <c r="O35" s="1"/>
      <c r="P35" s="1"/>
      <c r="Q35" s="1"/>
    </row>
    <row r="36" spans="1:17" ht="15.75" x14ac:dyDescent="0.25">
      <c r="A36" s="33"/>
      <c r="B36" s="85"/>
      <c r="C36" s="85"/>
      <c r="D36" s="25"/>
      <c r="E36" s="25" t="str">
        <f>E28</f>
        <v>upcs</v>
      </c>
      <c r="F36" s="44">
        <f>-F22*0.2</f>
        <v>-19.999982857191835</v>
      </c>
      <c r="G36" s="25"/>
      <c r="H36" s="25"/>
      <c r="I36" s="1"/>
      <c r="J36" s="1"/>
      <c r="K36" s="1"/>
      <c r="L36" s="1"/>
      <c r="M36" s="1"/>
      <c r="N36" s="1"/>
      <c r="O36" s="1"/>
      <c r="P36" s="1"/>
      <c r="Q36" s="1"/>
    </row>
    <row r="37" spans="1:17" ht="15.75" x14ac:dyDescent="0.25">
      <c r="A37" s="33"/>
      <c r="B37" s="85"/>
      <c r="C37" s="85"/>
      <c r="D37" s="25"/>
      <c r="E37" s="25" t="str">
        <f>E29</f>
        <v>goodwill impaired</v>
      </c>
      <c r="F37" s="44">
        <f>F19*0.2</f>
        <v>-140</v>
      </c>
      <c r="G37" s="25"/>
      <c r="H37" s="25"/>
      <c r="I37" s="1"/>
      <c r="J37" s="1"/>
      <c r="K37" s="1"/>
      <c r="L37" s="1"/>
      <c r="M37" s="1"/>
      <c r="N37" s="1"/>
      <c r="O37" s="1"/>
      <c r="P37" s="1"/>
      <c r="Q37" s="1"/>
    </row>
    <row r="38" spans="1:17" ht="16.5" thickBot="1" x14ac:dyDescent="0.3">
      <c r="A38" s="33"/>
      <c r="B38" s="85"/>
      <c r="C38" s="85"/>
      <c r="D38" s="25"/>
      <c r="E38" s="25"/>
      <c r="F38" s="47">
        <f>SUM(F32:F37)</f>
        <v>5858.0000171428082</v>
      </c>
      <c r="G38" s="25"/>
      <c r="H38" s="25"/>
      <c r="I38" s="1"/>
      <c r="J38" s="1"/>
      <c r="K38" s="1"/>
      <c r="L38" s="1"/>
      <c r="M38" s="1"/>
      <c r="N38" s="1"/>
      <c r="O38" s="1"/>
      <c r="P38" s="1"/>
      <c r="Q38" s="1"/>
    </row>
    <row r="39" spans="1:17" ht="11.25" customHeight="1" x14ac:dyDescent="0.25">
      <c r="A39" s="33"/>
      <c r="B39" s="34"/>
      <c r="C39" s="34"/>
      <c r="D39" s="33"/>
      <c r="E39" s="33"/>
      <c r="F39" s="82"/>
      <c r="G39" s="33"/>
      <c r="H39" s="33"/>
      <c r="I39" s="19"/>
      <c r="J39" s="76"/>
      <c r="K39" s="76"/>
      <c r="L39" s="76"/>
      <c r="M39" s="76"/>
      <c r="N39" s="76"/>
      <c r="O39" s="76"/>
      <c r="P39" s="76"/>
    </row>
    <row r="40" spans="1:17" ht="0.75" customHeight="1" x14ac:dyDescent="0.25">
      <c r="A40" s="35" t="s">
        <v>91</v>
      </c>
      <c r="B40" s="34"/>
      <c r="C40" s="34"/>
      <c r="D40" s="33"/>
      <c r="E40" s="33"/>
      <c r="F40" s="82"/>
      <c r="G40" s="33"/>
      <c r="H40" s="33"/>
      <c r="I40" s="19"/>
    </row>
    <row r="41" spans="1:17" ht="63" customHeight="1" x14ac:dyDescent="0.25">
      <c r="A41" s="68" t="s">
        <v>92</v>
      </c>
      <c r="B41" s="69"/>
      <c r="C41" s="69"/>
      <c r="D41" s="69"/>
      <c r="E41" s="69"/>
      <c r="F41" s="82"/>
      <c r="G41" s="33"/>
      <c r="H41" s="33"/>
      <c r="I41" s="19"/>
    </row>
    <row r="42" spans="1:17" ht="75" customHeight="1" x14ac:dyDescent="0.25">
      <c r="A42" s="70" t="s">
        <v>93</v>
      </c>
      <c r="B42" s="71"/>
      <c r="C42" s="71"/>
      <c r="D42" s="71"/>
      <c r="E42" s="71"/>
      <c r="F42" s="82"/>
      <c r="G42" s="33"/>
      <c r="H42" s="33"/>
      <c r="I42" s="19"/>
    </row>
    <row r="43" spans="1:17" ht="34.5" customHeight="1" x14ac:dyDescent="0.25">
      <c r="A43" s="72" t="s">
        <v>94</v>
      </c>
      <c r="B43" s="73"/>
      <c r="C43" s="73"/>
      <c r="D43" s="73"/>
      <c r="E43" s="73"/>
      <c r="F43" s="82"/>
      <c r="G43" s="33"/>
      <c r="H43" s="33"/>
      <c r="I43" s="19"/>
    </row>
    <row r="44" spans="1:17" ht="19.5" customHeight="1" x14ac:dyDescent="0.25">
      <c r="A44" s="74" t="s">
        <v>95</v>
      </c>
      <c r="B44" s="74"/>
      <c r="C44" s="74"/>
      <c r="D44" s="74"/>
      <c r="E44" s="74"/>
      <c r="F44" s="82"/>
      <c r="G44" s="33"/>
      <c r="H44" s="33"/>
      <c r="I44" s="19"/>
    </row>
    <row r="45" spans="1:17" ht="30" customHeight="1" x14ac:dyDescent="0.25">
      <c r="A45" s="75" t="s">
        <v>96</v>
      </c>
      <c r="B45" s="74"/>
      <c r="C45" s="74"/>
      <c r="D45" s="74"/>
      <c r="E45" s="74"/>
      <c r="F45" s="82"/>
      <c r="G45" s="33"/>
      <c r="H45" s="33"/>
      <c r="I45" s="19"/>
    </row>
    <row r="46" spans="1:17" ht="15.75" x14ac:dyDescent="0.25">
      <c r="A46" s="74" t="s">
        <v>97</v>
      </c>
      <c r="B46" s="74"/>
      <c r="C46" s="74"/>
      <c r="D46" s="74"/>
      <c r="E46" s="74"/>
      <c r="F46" s="82"/>
      <c r="G46" s="33"/>
      <c r="H46" s="33"/>
      <c r="I46" s="19"/>
    </row>
    <row r="47" spans="1:17" ht="15.75" x14ac:dyDescent="0.25">
      <c r="A47" s="67"/>
      <c r="B47" s="67"/>
      <c r="C47" s="67"/>
      <c r="D47" s="67"/>
      <c r="E47" s="67"/>
      <c r="F47" s="82"/>
      <c r="G47" s="33"/>
      <c r="H47" s="33"/>
      <c r="I47" s="19"/>
    </row>
    <row r="48" spans="1:17" ht="15.75" x14ac:dyDescent="0.25">
      <c r="A48" s="36" t="s">
        <v>98</v>
      </c>
      <c r="B48" s="37"/>
      <c r="C48" s="37"/>
      <c r="D48" s="25"/>
      <c r="E48" s="25"/>
      <c r="F48" s="44"/>
      <c r="G48" s="25"/>
      <c r="H48" s="25"/>
      <c r="I48" s="1"/>
    </row>
    <row r="49" spans="1:9" ht="15.75" x14ac:dyDescent="0.25">
      <c r="A49" s="65" t="s">
        <v>99</v>
      </c>
      <c r="B49" s="65"/>
      <c r="C49" s="65"/>
      <c r="D49" s="65"/>
      <c r="E49" s="65"/>
      <c r="F49" s="44"/>
      <c r="G49" s="25"/>
      <c r="H49" s="25"/>
      <c r="I49" s="1"/>
    </row>
  </sheetData>
  <mergeCells count="15">
    <mergeCell ref="J6:Q6"/>
    <mergeCell ref="A47:E47"/>
    <mergeCell ref="A49:E49"/>
    <mergeCell ref="A41:E41"/>
    <mergeCell ref="A42:E42"/>
    <mergeCell ref="A43:E43"/>
    <mergeCell ref="A44:E44"/>
    <mergeCell ref="A45:E45"/>
    <mergeCell ref="A46:E46"/>
    <mergeCell ref="A6:E6"/>
    <mergeCell ref="A1:B1"/>
    <mergeCell ref="A2:G2"/>
    <mergeCell ref="A3:I3"/>
    <mergeCell ref="A4:G4"/>
    <mergeCell ref="A5:H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cashflow</vt:lpstr>
      <vt:lpstr>group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2023-07-26T05:03:56Z</dcterms:created>
  <dcterms:modified xsi:type="dcterms:W3CDTF">2023-07-28T02:59:04Z</dcterms:modified>
</cp:coreProperties>
</file>